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XuxgiBqpDyyLqtZqN6rCjO2a8amRqGq7Ss9URMPdfz7yEzgjZkRG0Qy2e99DpNavAsS4HVD7i/zHitzF/hE43w==" workbookSaltValue="xoPKIlIhfzx5tQrdfwCi3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B18" i="7" l="1"/>
  <c r="S19" i="8"/>
  <c r="AB13" i="21"/>
  <c r="BG10" i="8"/>
  <c r="V9" i="16"/>
  <c r="V10" i="16"/>
  <c r="X15" i="16"/>
  <c r="X18" i="16" s="1"/>
  <c r="L17" i="2"/>
  <c r="L12" i="2"/>
  <c r="S16" i="17"/>
  <c r="S15" i="17"/>
  <c r="BK10" i="11"/>
  <c r="BH12" i="16"/>
  <c r="BM9" i="11"/>
  <c r="S17" i="17"/>
  <c r="BG16" i="11"/>
  <c r="BH11" i="11"/>
  <c r="BK16" i="11"/>
  <c r="S10" i="17"/>
  <c r="BI9" i="11"/>
  <c r="Q17" i="17"/>
  <c r="T16" i="11"/>
  <c r="AA17" i="16"/>
  <c r="BV9" i="16"/>
  <c r="V12" i="16"/>
  <c r="U10" i="17"/>
  <c r="BV11" i="16"/>
  <c r="BV12" i="16"/>
  <c r="BV17" i="16"/>
  <c r="AZ15" i="11"/>
  <c r="AZ18" i="11" s="1"/>
  <c r="AZ9" i="11"/>
  <c r="AZ13" i="11" s="1"/>
  <c r="R17" i="20"/>
  <c r="R18" i="20" s="1"/>
  <c r="AP15" i="20"/>
  <c r="BJ15" i="11"/>
  <c r="BH9" i="11"/>
  <c r="AP10" i="21"/>
  <c r="BF10" i="11"/>
  <c r="BM16" i="11"/>
  <c r="BH11" i="16"/>
  <c r="AL16" i="11"/>
  <c r="C16" i="6"/>
  <c r="BE9" i="13"/>
  <c r="BK11" i="11"/>
  <c r="X11" i="17"/>
  <c r="BK9" i="11"/>
  <c r="BK12" i="11"/>
  <c r="P17" i="17"/>
  <c r="BG10" i="11"/>
  <c r="BL9" i="11"/>
  <c r="BF11" i="11"/>
  <c r="AZ19"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AL20" i="20"/>
  <c r="O20" i="20"/>
  <c r="AF20" i="20"/>
  <c r="AG20" i="20"/>
  <c r="O10" i="11"/>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S20" i="20"/>
  <c r="F20" i="20"/>
  <c r="AQ20" i="20"/>
  <c r="W20" i="20"/>
  <c r="AC20" i="20"/>
  <c r="K20" i="20"/>
  <c r="AH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<sst xmlns="http://schemas.openxmlformats.org/spreadsheetml/2006/main" count="2102" uniqueCount="918">
  <si>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</si>
  <si>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</si>
  <si>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</si>
  <si>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</si>
  <si>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</si>
  <si>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</si>
  <si>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</si>
  <si>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</si>
  <si>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</si>
  <si>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</si>
  <si>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</si>
  <si>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</si>
  <si>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</si>
  <si>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</si>
  <si>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</si>
  <si>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</si>
  <si>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</si>
  <si>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</si>
  <si>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</si>
  <si>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</si>
  <si>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</si>
  <si>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</si>
  <si>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</si>
  <si>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</si>
  <si>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</si>
  <si>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</si>
  <si>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</si>
  <si>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</si>
  <si>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</si>
  <si>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</si>
  <si>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</si>
  <si>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</si>
  <si>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</si>
  <si>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</si>
  <si>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</si>
  <si>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</si>
  <si>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</si>
  <si>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</si>
  <si>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</si>
  <si>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</si>
  <si>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</si>
  <si>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</si>
  <si>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</si>
  <si>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</si>
  <si>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</si>
  <si>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</si>
  <si>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</si>
  <si>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</si>
  <si>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</si>
  <si>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</si>
  <si>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</si>
  <si>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</si>
  <si>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</si>
  <si>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</si>
  <si>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</si>
  <si>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</si>
  <si>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</si>
  <si>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</si>
  <si>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</si>
  <si>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</si>
  <si>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</si>
  <si>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</si>
  <si>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</si>
  <si>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</si>
  <si>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</si>
  <si>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</si>
  <si>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</si>
  <si>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</si>
  <si>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</si>
  <si>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</si>
  <si>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</si>
  <si>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</si>
  <si>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</si>
  <si>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</si>
  <si>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</si>
  <si>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</si>
  <si>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</si>
  <si>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</si>
  <si>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</si>
  <si>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</si>
  <si>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</si>
  <si>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</si>
  <si>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</si>
  <si>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</si>
  <si>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</si>
  <si>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</si>
  <si>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</si>
  <si>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</si>
  <si>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</si>
  <si>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</si>
  <si>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</si>
  <si>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</si>
  <si>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</si>
  <si>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</si>
  <si>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</si>
  <si>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</si>
  <si>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</si>
  <si>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</si>
  <si>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</si>
  <si>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</si>
  <si>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</si>
  <si>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</si>
  <si>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</si>
  <si>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</si>
  <si>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</si>
  <si>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</si>
  <si>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</si>
  <si>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</si>
  <si>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</si>
  <si>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</si>
  <si>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</si>
  <si>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</si>
  <si>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</si>
  <si>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</si>
  <si>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</si>
  <si>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</si>
  <si>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</si>
  <si>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</si>
  <si>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</si>
  <si>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</si>
  <si>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</si>
  <si>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</si>
  <si>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</si>
  <si>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</si>
  <si>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</si>
  <si>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</si>
  <si>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</si>
  <si>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</si>
  <si>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</si>
  <si>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</si>
  <si>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</si>
  <si>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</si>
  <si>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</si>
  <si>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</si>
  <si>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</si>
  <si>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</si>
  <si>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</si>
  <si>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</si>
  <si>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</si>
  <si>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</si>
  <si>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</si>
  <si>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</si>
  <si>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</si>
  <si>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</si>
  <si>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</si>
  <si>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</si>
  <si>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</si>
  <si>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</si>
  <si>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</si>
  <si>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</si>
  <si>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</si>
  <si>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</si>
  <si>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</si>
  <si>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</si>
  <si>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</si>
  <si>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</si>
  <si>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</si>
  <si>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</si>
  <si>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</si>
  <si>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</si>
  <si>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</si>
  <si>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</si>
  <si>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</si>
  <si>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</si>
  <si>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</si>
  <si>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</si>
  <si>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</si>
  <si>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</si>
  <si>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</si>
  <si>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</si>
  <si>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</si>
  <si>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</si>
  <si>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</si>
  <si>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</si>
  <si>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</si>
  <si>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</si>
  <si>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</si>
  <si>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</si>
  <si>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</si>
  <si>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</si>
  <si>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</si>
  <si>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</si>
  <si>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</si>
  <si>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</si>
  <si>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</si>
  <si>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</si>
  <si>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</si>
  <si>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</si>
  <si>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</si>
  <si>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</si>
  <si>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</si>
  <si>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</si>
  <si>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</si>
  <si>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</si>
  <si>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</si>
  <si>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</si>
  <si>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</si>
  <si>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</si>
  <si>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</si>
  <si>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</si>
  <si>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</si>
  <si>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</si>
  <si>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</si>
  <si>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</si>
  <si>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</si>
  <si>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</si>
  <si>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</si>
  <si>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</si>
  <si>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</si>
  <si>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</si>
  <si>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</si>
  <si>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</si>
  <si>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</si>
  <si>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</si>
  <si>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</si>
  <si>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</si>
  <si>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</si>
  <si>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</si>
  <si>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</si>
  <si>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</si>
  <si>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</si>
  <si>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</si>
  <si>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</si>
  <si>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</si>
  <si>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</si>
  <si>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</si>
  <si>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</si>
  <si>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</si>
  <si>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</si>
  <si>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</si>
  <si>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</si>
  <si>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</si>
  <si>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</si>
  <si>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</si>
  <si>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</si>
  <si>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</si>
  <si>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</si>
  <si>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</si>
  <si>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</si>
  <si>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</si>
  <si>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</si>
  <si>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</si>
  <si>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</si>
  <si>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</si>
  <si>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</si>
  <si>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</si>
  <si>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</si>
  <si>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</si>
  <si>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</si>
  <si>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</si>
  <si>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</si>
  <si>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</si>
  <si>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</si>
  <si>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</si>
  <si>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</si>
  <si>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</si>
  <si>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</si>
  <si>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</si>
  <si>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</si>
  <si>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</si>
  <si>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</si>
  <si>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</si>
  <si>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</si>
  <si>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</si>
  <si>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</si>
  <si>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</si>
  <si>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</si>
  <si>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</si>
  <si>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</si>
  <si>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</si>
  <si>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</si>
  <si>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</si>
  <si>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</si>
  <si>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</si>
  <si>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</si>
  <si>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</si>
  <si>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</si>
  <si>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</si>
  <si>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</si>
  <si>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</si>
  <si>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</si>
  <si>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</si>
  <si>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</si>
  <si>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</si>
  <si>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</si>
  <si>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</si>
  <si>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</si>
  <si>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</si>
  <si>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</si>
  <si>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</si>
  <si>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</si>
  <si>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</si>
  <si>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</si>
  <si>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</si>
  <si>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</si>
  <si>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</si>
  <si>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</si>
  <si>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</si>
  <si>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</si>
  <si>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</si>
  <si>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</si>
  <si>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</si>
  <si>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</si>
  <si>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</si>
  <si>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</si>
  <si>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</si>
  <si>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</si>
  <si>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</si>
  <si>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</si>
  <si>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</si>
  <si>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</si>
  <si>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</si>
  <si>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</si>
  <si>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</si>
  <si>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</si>
  <si>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</si>
  <si>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</si>
  <si>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</si>
  <si>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</si>
  <si>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</si>
  <si>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</si>
  <si>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</si>
  <si>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</si>
  <si>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</si>
  <si>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</si>
  <si>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</si>
  <si>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</si>
  <si>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</si>
  <si>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</si>
  <si>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</si>
  <si>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</si>
  <si>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</si>
  <si>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</si>
  <si>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</si>
  <si>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</si>
  <si>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</si>
  <si>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</si>
  <si>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</si>
  <si>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</si>
  <si>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</si>
  <si>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</si>
  <si>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</si>
  <si>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</si>
  <si>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</si>
  <si>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</si>
  <si>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</si>
  <si>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</si>
  <si>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</si>
  <si>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</si>
  <si>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</si>
  <si>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</si>
  <si>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</si>
  <si>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</si>
  <si>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</si>
  <si>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</si>
  <si>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</si>
  <si>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</si>
  <si>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</si>
  <si>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</si>
  <si>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</si>
  <si>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</si>
  <si>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</si>
  <si>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</si>
  <si>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</si>
  <si>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</si>
  <si>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</si>
  <si>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</si>
  <si>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</si>
  <si>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</si>
  <si>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</si>
  <si>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</si>
  <si>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</si>
  <si>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</si>
  <si>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</si>
  <si>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</si>
  <si>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</si>
  <si>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</si>
  <si>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</si>
  <si>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</si>
  <si>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</si>
  <si>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</si>
  <si>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</si>
  <si>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</si>
  <si>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</si>
  <si>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</si>
  <si>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</si>
  <si>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</si>
  <si>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</si>
  <si>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</si>
  <si>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</si>
  <si>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</si>
  <si>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</si>
  <si>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</si>
  <si>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</si>
  <si>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</si>
  <si>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</si>
  <si>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</si>
  <si>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</si>
  <si>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</si>
  <si>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</si>
  <si>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</si>
  <si>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</si>
  <si>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</si>
  <si>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</si>
  <si>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</si>
  <si>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</si>
  <si>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</si>
  <si>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</si>
  <si>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</si>
  <si>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</si>
  <si>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</si>
  <si>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</si>
  <si>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</si>
  <si>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</si>
  <si>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</si>
  <si>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</si>
  <si>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</si>
  <si>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</si>
  <si>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</si>
  <si>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</si>
  <si>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</si>
  <si>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</si>
  <si>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</si>
  <si>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</si>
  <si>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</si>
  <si>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</si>
  <si>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</si>
  <si>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</si>
  <si>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</si>
  <si>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</si>
  <si>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</si>
  <si>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</si>
  <si>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</si>
  <si>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</si>
  <si>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</si>
  <si>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</si>
  <si>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</si>
  <si>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</si>
  <si>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</si>
  <si>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</si>
  <si>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</si>
  <si>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</si>
  <si>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</si>
  <si>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</si>
  <si>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</si>
  <si>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</si>
  <si>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</si>
  <si>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</si>
  <si>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</si>
  <si>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</si>
  <si>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</si>
  <si>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</si>
  <si>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</si>
  <si>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</si>
  <si>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</si>
  <si>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</si>
  <si>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</si>
  <si>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</si>
  <si>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</si>
  <si>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</si>
  <si>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</si>
  <si>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</si>
  <si>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</si>
  <si>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</si>
  <si>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</si>
  <si>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</si>
  <si>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</si>
  <si>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</si>
  <si>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</si>
  <si>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</si>
  <si>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</si>
  <si>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</si>
  <si>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</si>
  <si>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</si>
  <si>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</si>
  <si>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</si>
  <si>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</si>
  <si>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</si>
  <si>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</si>
  <si>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</si>
  <si>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</si>
  <si>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</si>
  <si>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</si>
  <si>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</si>
  <si>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</si>
  <si>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</si>
  <si>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</si>
  <si>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</si>
  <si>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</si>
  <si>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</si>
  <si>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</si>
  <si>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</si>
  <si>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</si>
  <si>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</si>
  <si>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</si>
  <si>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</si>
  <si>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</si>
  <si>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</si>
  <si>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</si>
  <si>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</si>
  <si>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</si>
  <si>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</si>
  <si>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</si>
  <si>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</si>
  <si>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</si>
  <si>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</si>
  <si>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</si>
  <si>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</si>
  <si>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</si>
  <si>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</si>
  <si>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</si>
  <si>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</si>
  <si>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</si>
  <si>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</si>
  <si>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</si>
  <si>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</si>
  <si>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</si>
  <si>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</si>
  <si>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</si>
  <si>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</si>
  <si>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</si>
  <si>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</si>
  <si>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</si>
  <si>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</si>
  <si>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</si>
  <si>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</si>
  <si>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</si>
  <si>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</si>
  <si>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</si>
  <si>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</si>
  <si>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</si>
  <si>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</si>
  <si>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</si>
  <si>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</si>
  <si>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</si>
  <si>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</si>
  <si>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</si>
  <si>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</si>
  <si>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</si>
  <si>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</si>
  <si>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</si>
  <si>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</si>
  <si>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</si>
  <si>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</si>
  <si>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</si>
  <si>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</si>
  <si>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</si>
  <si>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</si>
  <si>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</si>
  <si>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</si>
  <si>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</si>
  <si>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</si>
  <si>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</si>
  <si>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</si>
  <si>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</si>
  <si>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</si>
  <si>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</si>
  <si>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</si>
  <si>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</si>
  <si>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</si>
  <si>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</si>
  <si>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</si>
  <si>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</si>
  <si>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</si>
  <si>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</si>
  <si>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</si>
  <si>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</si>
  <si>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</si>
  <si>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</si>
  <si>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</si>
  <si>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</si>
  <si>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</si>
  <si>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</si>
  <si>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</si>
  <si>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</si>
  <si>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</si>
  <si>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</si>
  <si>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</si>
  <si>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</si>
  <si>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</si>
  <si>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</si>
  <si>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</si>
  <si>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</si>
  <si>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</si>
  <si>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</si>
  <si>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</si>
  <si>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</si>
  <si>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</si>
  <si>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</si>
  <si>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</si>
  <si>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</si>
  <si>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</si>
  <si>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</si>
  <si>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</si>
  <si>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</si>
  <si>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</si>
  <si>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</si>
  <si>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</si>
  <si>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</si>
  <si>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</si>
  <si>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</si>
  <si>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</si>
  <si>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</si>
  <si>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</si>
  <si>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</si>
  <si>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</si>
  <si>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</si>
  <si>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</si>
  <si>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</si>
  <si>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</si>
  <si>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</si>
  <si>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</si>
  <si>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</si>
  <si>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</si>
  <si>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</si>
  <si>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</si>
  <si>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</si>
  <si>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</si>
  <si>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</si>
  <si>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</si>
  <si>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</si>
  <si>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</si>
  <si>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</si>
  <si>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</si>
  <si>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</si>
  <si>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</si>
  <si>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</si>
  <si>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</si>
  <si>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</si>
  <si>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</si>
  <si>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</si>
  <si>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</si>
  <si>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</si>
  <si>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</si>
  <si>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</si>
  <si>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</si>
  <si>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</si>
  <si>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</si>
  <si>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</si>
  <si>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</si>
  <si>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</si>
  <si>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</si>
  <si>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</si>
  <si>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</si>
  <si>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</si>
  <si>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</si>
  <si>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</si>
  <si>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</si>
  <si>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</si>
  <si>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</si>
  <si>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</si>
  <si>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</si>
  <si>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</si>
  <si>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</si>
  <si>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</si>
  <si>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</si>
  <si>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</si>
  <si>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</si>
  <si>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</si>
  <si>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</si>
  <si>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</si>
  <si>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</si>
  <si>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</si>
  <si>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</si>
  <si>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</si>
  <si>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</si>
  <si>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</si>
  <si>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</si>
  <si>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</si>
  <si>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</si>
  <si>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</si>
  <si>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</si>
  <si>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</si>
  <si>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</si>
  <si>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</si>
  <si>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</si>
  <si>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</si>
  <si>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</si>
  <si>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</si>
  <si>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</si>
  <si>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</si>
  <si>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</si>
  <si>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</si>
  <si>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</si>
  <si>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</si>
  <si>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</si>
  <si>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</si>
  <si>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</si>
  <si>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</si>
  <si>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</si>
  <si>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</si>
  <si>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</si>
  <si>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</si>
  <si>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</si>
  <si>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</si>
  <si>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</si>
  <si>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</si>
  <si>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</si>
  <si>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</si>
  <si>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</si>
  <si>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</si>
  <si>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</si>
  <si>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</si>
  <si>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</si>
  <si>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</si>
  <si>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</si>
  <si>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</si>
  <si>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</si>
  <si>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</si>
  <si>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</si>
  <si>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</si>
  <si>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</si>
  <si>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</si>
  <si>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</si>
  <si>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</si>
  <si>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</si>
  <si>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</si>
  <si>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</si>
  <si>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</si>
  <si>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</si>
  <si>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</si>
  <si>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</si>
  <si>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</si>
  <si>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</si>
  <si>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</si>
  <si>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</si>
  <si>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</si>
  <si>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</si>
  <si>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</si>
  <si>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</si>
  <si>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</si>
  <si>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</si>
  <si>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</si>
  <si>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</si>
  <si>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</si>
  <si>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</si>
  <si>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</si>
  <si>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</si>
  <si>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</si>
  <si>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</si>
  <si>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</si>
  <si>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</si>
  <si>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</si>
  <si>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</si>
  <si>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</si>
  <si>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</si>
  <si>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</si>
  <si>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</si>
  <si>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</si>
  <si>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</si>
  <si>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</si>
  <si>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</si>
  <si>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</si>
  <si>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</si>
  <si>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</si>
  <si>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</si>
  <si>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</si>
  <si>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</si>
  <si>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</si>
  <si>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</si>
  <si>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</si>
  <si>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</si>
  <si>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</si>
  <si>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</si>
  <si>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</si>
  <si>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</si>
  <si>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</si>
  <si>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</si>
  <si>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</si>
  <si>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</si>
  <si>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</si>
  <si>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</si>
  <si>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</si>
  <si>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</si>
  <si>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</si>
  <si>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</si>
  <si>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</si>
  <si>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</si>
  <si>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</si>
  <si>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</si>
  <si>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</si>
  <si>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</si>
  <si>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</si>
  <si>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</si>
  <si>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</si>
  <si>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</si>
  <si>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</si>
  <si>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</si>
  <si>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</si>
  <si>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</si>
  <si>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</si>
  <si>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</si>
  <si>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</si>
  <si>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</si>
  <si>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</si>
  <si>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</si>
  <si>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</si>
  <si>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</si>
  <si>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</si>
  <si>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</si>
  <si>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</si>
  <si>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</si>
  <si>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</si>
  <si>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</si>
  <si>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</si>
  <si>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</si>
  <si>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</si>
  <si>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</si>
  <si>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</si>
  <si>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</si>
  <si>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</si>
  <si>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</si>
  <si>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</si>
  <si>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</si>
  <si>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</si>
  <si>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</si>
  <si>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</si>
  <si>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</si>
  <si>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</si>
  <si>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</si>
  <si>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</si>
  <si>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</si>
  <si>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</si>
  <si>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</si>
  <si>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</si>
  <si>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</si>
  <si>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</si>
  <si>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</si>
  <si>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</si>
  <si>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</si>
  <si>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</si>
  <si>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</si>
  <si>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</si>
  <si>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</si>
  <si>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</si>
  <si>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</si>
  <si>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</si>
  <si>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</si>
  <si>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</si>
  <si>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</si>
  <si>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</si>
  <si>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</si>
  <si>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</si>
  <si>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</si>
  <si>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</si>
  <si>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</si>
  <si>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</si>
  <si>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</si>
  <si>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</si>
  <si>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</si>
  <si>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</si>
  <si>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</si>
  <si>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</si>
  <si>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</si>
  <si>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</si>
  <si>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</si>
  <si>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</si>
  <si>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</si>
  <si>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</si>
  <si>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</si>
  <si>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</si>
  <si>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</si>
  <si>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</si>
  <si>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</si>
  <si>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</si>
  <si>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</si>
  <si>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</si>
  <si>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</si>
  <si>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</si>
  <si>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</si>
  <si>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</si>
  <si>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</si>
  <si>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</si>
  <si>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</si>
  <si>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</si>
  <si>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</si>
  <si>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</si>
  <si>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</si>
  <si>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</si>
  <si>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</si>
  <si>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</si>
  <si>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</si>
  <si>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</si>
  <si>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</si>
  <si>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</si>
  <si>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</si>
  <si>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</si>
  <si>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</si>
  <si>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</si>
  <si>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</si>
  <si>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</si>
  <si>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</si>
  <si>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</si>
  <si>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</si>
  <si>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</si>
  <si>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</si>
  <si>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</si>
  <si>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</si>
  <si>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</si>
  <si>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</si>
  <si>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</si>
  <si>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</si>
  <si>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</si>
  <si>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</si>
  <si>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</si>
  <si>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</si>
  <si>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</si>
  <si>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</si>
  <si>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</si>
  <si>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</si>
  <si>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</si>
  <si>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</si>
  <si>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</si>
  <si>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</si>
  <si>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</si>
  <si>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</si>
  <si>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</si>
  <si>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MARTORELL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</si>
</sst>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aOf5k4BrZCeCd30QBw52GdISrIBTAhc0L25naga0H7stiMtP+7Y8+bwZhQxIrVxzKWrQdTeunuxX9CdfKJFjw==" saltValue="AjLaiXvIOyAFBDV7nar7F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98</v>
      </c>
      <c r="D10" s="225">
        <f>IF(ISNUMBER(Datos!I10),Datos!I10," - ")</f>
        <v>98</v>
      </c>
      <c r="E10" s="226">
        <f>IF(ISNUMBER(Datos!J10),Datos!J10," - ")</f>
        <v>24</v>
      </c>
      <c r="F10" s="226">
        <f>IF(ISNUMBER(Datos!K10),Datos!K10," - ")</f>
        <v>12</v>
      </c>
      <c r="G10" s="1034" t="str">
        <f>IF(Datos!E10&lt;&gt;"",Datos!E10,Datos!D10)</f>
        <v>37</v>
      </c>
      <c r="H10" s="227">
        <f>IF(ISNUMBER(Datos!L10),Datos!L10," - ")</f>
        <v>110</v>
      </c>
      <c r="I10" s="1044" t="str">
        <f>IF(ISNUMBER(Datos!AS10/Datos!BM10),Datos!AS10/Datos!BM10," - ")</f>
        <v xml:space="preserve"> - </v>
      </c>
      <c r="J10" s="1045">
        <f>IF(ISNUMBER(Datos!BY10/Datos!CN10),Datos!BY10/Datos!CN10," - ")</f>
        <v>0</v>
      </c>
      <c r="K10" s="230">
        <f t="shared" ref="K10:K12" si="1">IF(ISNUMBER((E10-F10)/C10),(E10-F10)/C10," - ")</f>
        <v>0.12244897959183673</v>
      </c>
      <c r="L10" s="1025">
        <f>IF(ISNUMBER(NºAsuntos!I10/NºAsuntos!G10),(NºAsuntos!I10/NºAsuntos!G10)*11," - ")</f>
        <v>100.83333333333333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36.822968906720163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98</v>
      </c>
      <c r="D13" s="1049">
        <f>SUBTOTAL(9,D9:D12)</f>
        <v>98</v>
      </c>
      <c r="E13" s="1050">
        <f>SUBTOTAL(9,E9:E12)</f>
        <v>24</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3077</v>
      </c>
      <c r="D16" s="225">
        <f>IF(ISNUMBER(IF(D_I="SI",Datos!I16,Datos!I16+Datos!AC16)),IF(D_I="SI",Datos!I16,Datos!I16+Datos!AC16)," - ")</f>
        <v>3062</v>
      </c>
      <c r="E16" s="226">
        <f>IF(ISNUMBER(IF(D_I="SI",Datos!J16,Datos!J16+Datos!AD16)),IF(D_I="SI",Datos!J16,Datos!J16+Datos!AD16)," - ")</f>
        <v>1952</v>
      </c>
      <c r="F16" s="226">
        <f>IF(ISNUMBER(IF(D_I="SI",Datos!K16,Datos!K16+Datos!AE16)),IF(D_I="SI",Datos!K16,Datos!K16+Datos!AE16)," - ")</f>
        <v>2134</v>
      </c>
      <c r="G16" s="1034" t="str">
        <f>IF(Datos!E16&lt;&gt;"",Datos!E16,Datos!D16)</f>
        <v>04</v>
      </c>
      <c r="H16" s="227">
        <f>IF(ISNUMBER(IF(D_I="SI",Datos!L16,Datos!L16+Datos!AF16)),IF(D_I="SI",Datos!L16,Datos!L16+Datos!AF16)," - ")</f>
        <v>2895</v>
      </c>
      <c r="I16" s="1044" t="str">
        <f>IF(ISNUMBER(Datos!AS16/Datos!BM16),Datos!AS16/Datos!BM16," - ")</f>
        <v xml:space="preserve"> - </v>
      </c>
      <c r="J16" s="1045">
        <f>IF(ISNUMBER(Datos!BY16/Datos!CN16),Datos!BY16/Datos!CN16," - ")</f>
        <v>0</v>
      </c>
      <c r="K16" s="230">
        <f t="shared" si="3"/>
        <v>-5.9148521286967827E-2</v>
      </c>
      <c r="L16" s="1025">
        <f>IF(ISNUMBER(NºAsuntos!I16/NºAsuntos!G16),(NºAsuntos!I16/NºAsuntos!G16)*11," - ")</f>
        <v>14.922680412371133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368</v>
      </c>
      <c r="D17" s="225">
        <f>IF(ISNUMBER(IF(D_I="SI",Datos!I17,Datos!I17+Datos!AC17)),IF(D_I="SI",Datos!I17,Datos!I17+Datos!AC17)," - ")</f>
        <v>368</v>
      </c>
      <c r="E17" s="226">
        <f>IF(ISNUMBER(IF(D_I="SI",Datos!J17,Datos!J17+Datos!AD17)),IF(D_I="SI",Datos!J17,Datos!J17+Datos!AD17)," - ")</f>
        <v>118</v>
      </c>
      <c r="F17" s="226">
        <f>IF(ISNUMBER(IF(D_I="SI",Datos!K17,Datos!K17+Datos!AE17)),IF(D_I="SI",Datos!K17,Datos!K17+Datos!AE17)," - ")</f>
        <v>81</v>
      </c>
      <c r="G17" s="1034" t="str">
        <f>IF(Datos!E17&lt;&gt;"",Datos!E17,Datos!D17)</f>
        <v>37</v>
      </c>
      <c r="H17" s="227">
        <f>IF(ISNUMBER(IF(D_I="SI",Datos!L17,Datos!L17+Datos!AF17)),IF(D_I="SI",Datos!L17,Datos!L17+Datos!AF17)," - ")</f>
        <v>405</v>
      </c>
      <c r="I17" s="1044" t="str">
        <f>IF(ISNUMBER(Datos!AS17/Datos!BM17),Datos!AS17/Datos!BM17," - ")</f>
        <v xml:space="preserve"> - </v>
      </c>
      <c r="J17" s="1045" t="str">
        <f>IF(ISNUMBER((Datos!BY17+Datos!BZ17)/Datos!CN17),(Datos!BY17+Datos!BZ17)/Datos!CN17," - ")</f>
        <v xml:space="preserve"> - </v>
      </c>
      <c r="K17" s="230">
        <f t="shared" si="3"/>
        <v>0.10054347826086957</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3445</v>
      </c>
      <c r="D18" s="1049">
        <f>SUBTOTAL(9,D15:D17)</f>
        <v>3430</v>
      </c>
      <c r="E18" s="1050">
        <f>SUBTOTAL(9,E15:E17)</f>
        <v>2070</v>
      </c>
      <c r="F18" s="1050">
        <f>SUBTOTAL(9,F15:F17)</f>
        <v>2215</v>
      </c>
      <c r="G18" s="1052" t="str">
        <f ca="1">INDIRECT(CONCATENATE("G",ROW()-1))</f>
        <v>37</v>
      </c>
      <c r="H18" s="1053">
        <f ca="1">SUMIF(G$14:G17,G18,H$14:H17)</f>
        <v>405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3543</v>
      </c>
      <c r="D19" s="1071">
        <f>SUBTOTAL(9,D9:D18)</f>
        <v>3528</v>
      </c>
      <c r="E19" s="1072">
        <f>SUBTOTAL(9,E9:E18)</f>
        <v>2094</v>
      </c>
      <c r="F19" s="1072">
        <f>SUBTOTAL(9,F9:F18)</f>
        <v>2227</v>
      </c>
      <c r="G19" s="1073"/>
      <c r="H19" s="1074">
        <f ca="1">SUMIF(B9:B18,"TOTAL",H9:H18)</f>
        <v>405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Czvd8nC/4fph/+zGEhjsnKQ7DrBv9hX6RUlcyXDeIVIfh8Yd8CiSE3pMV7dB7ujEB1gscO1ckdPTz+uXZTsdw==" saltValue="VZ3vn9FEuMOf8gyWb6c+8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ftuE9QAMTySSNxBbBQMRcJQOpFutMRS7aZ305jBS+HUPBLhUE84PVbt2UshJdSRHdh7bL+4x4H++Kmpjx2w+Q==" saltValue="Y/7pQCU0iHuhcz4/dcSTS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98</v>
      </c>
      <c r="J10" s="181">
        <v>24</v>
      </c>
      <c r="K10" s="181">
        <v>12</v>
      </c>
      <c r="L10" s="181">
        <v>110</v>
      </c>
      <c r="M10" s="181">
        <v>4</v>
      </c>
      <c r="N10" s="181">
        <v>5</v>
      </c>
      <c r="O10" s="181">
        <v>5</v>
      </c>
      <c r="P10" s="181">
        <v>4</v>
      </c>
      <c r="Q10" s="181">
        <v>2</v>
      </c>
      <c r="R10" s="181">
        <v>87</v>
      </c>
      <c r="S10" s="181">
        <v>130</v>
      </c>
      <c r="T10" s="181">
        <v>17</v>
      </c>
      <c r="U10" s="181">
        <v>17</v>
      </c>
      <c r="V10" s="181">
        <v>103</v>
      </c>
      <c r="W10" s="181">
        <v>5</v>
      </c>
      <c r="X10" s="188">
        <v>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130</v>
      </c>
      <c r="AZ10" s="129">
        <f t="shared" si="0"/>
        <v>17</v>
      </c>
      <c r="BA10" s="129">
        <f t="shared" si="0"/>
        <v>17</v>
      </c>
      <c r="BB10" s="129">
        <f t="shared" si="0"/>
        <v>103</v>
      </c>
      <c r="BC10" s="125">
        <f t="shared" si="0"/>
        <v>5</v>
      </c>
      <c r="BD10" s="126">
        <f>IF(ISNUMBER(BA10/AZ10),BA10/AZ10," - ")</f>
        <v>1</v>
      </c>
      <c r="BE10" s="127">
        <f>IF(ISNUMBER(BB10/BA10),BB10/BA10, " - ")</f>
        <v>6.0588235294117645</v>
      </c>
      <c r="BF10" s="127">
        <f>IF(ISNUMBER(BC10/BA10),BC10/BA10, " - ")</f>
        <v>0.29411764705882354</v>
      </c>
      <c r="BG10" s="196">
        <f>IF(ISNUMBER((AY10+AZ10)/BA10),(AY10+AZ10)/BA10," - ")</f>
        <v>8.6470588235294112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6128</v>
      </c>
      <c r="J12" s="183">
        <v>1988</v>
      </c>
      <c r="K12" s="183">
        <v>1808</v>
      </c>
      <c r="L12" s="183">
        <v>6308</v>
      </c>
      <c r="M12" s="183">
        <v>410</v>
      </c>
      <c r="N12" s="183">
        <v>999</v>
      </c>
      <c r="O12" s="181">
        <v>752</v>
      </c>
      <c r="P12" s="183">
        <v>448</v>
      </c>
      <c r="Q12" s="183">
        <v>894</v>
      </c>
      <c r="R12" s="183">
        <v>7604</v>
      </c>
      <c r="S12" s="183">
        <v>6305</v>
      </c>
      <c r="T12" s="183">
        <v>1179</v>
      </c>
      <c r="U12" s="183">
        <v>1407</v>
      </c>
      <c r="V12" s="183">
        <v>6135</v>
      </c>
      <c r="W12" s="183">
        <v>313</v>
      </c>
      <c r="X12" s="189">
        <v>834</v>
      </c>
      <c r="Y12" s="191">
        <v>398</v>
      </c>
      <c r="Z12" s="181">
        <v>149</v>
      </c>
      <c r="AA12" s="181">
        <v>186</v>
      </c>
      <c r="AB12" s="181">
        <v>367</v>
      </c>
      <c r="AC12" s="183">
        <v>0</v>
      </c>
      <c r="AD12" s="183">
        <v>0</v>
      </c>
      <c r="AE12" s="183">
        <v>0</v>
      </c>
      <c r="AF12" s="189">
        <v>0</v>
      </c>
      <c r="AG12" s="202">
        <v>302</v>
      </c>
      <c r="AH12" s="183">
        <v>239</v>
      </c>
      <c r="AI12" s="183">
        <v>201</v>
      </c>
      <c r="AJ12" s="203">
        <v>402</v>
      </c>
      <c r="AK12" s="182">
        <v>0</v>
      </c>
      <c r="AL12" s="183">
        <v>0</v>
      </c>
      <c r="AM12" s="183">
        <v>0</v>
      </c>
      <c r="AN12" s="189">
        <v>0</v>
      </c>
      <c r="AO12" s="259">
        <v>7</v>
      </c>
      <c r="AP12" s="155">
        <v>7</v>
      </c>
      <c r="AQ12" s="155">
        <v>7</v>
      </c>
      <c r="AR12" s="154">
        <v>7</v>
      </c>
      <c r="AS12" s="340" t="s">
        <v>802</v>
      </c>
      <c r="AT12" s="203"/>
      <c r="AU12" s="202"/>
      <c r="AV12" s="203"/>
      <c r="AW12" s="202"/>
      <c r="AX12" s="203"/>
      <c r="AY12" s="126">
        <f t="shared" si="1"/>
        <v>6607</v>
      </c>
      <c r="AZ12" s="127">
        <f t="shared" si="1"/>
        <v>1418</v>
      </c>
      <c r="BA12" s="127">
        <f t="shared" si="1"/>
        <v>1608</v>
      </c>
      <c r="BB12" s="127">
        <f t="shared" si="1"/>
        <v>6537</v>
      </c>
      <c r="BC12" s="125">
        <f>IF(ISNUMBER(X12),X12," - ")</f>
        <v>834</v>
      </c>
      <c r="BD12" s="126">
        <f t="shared" si="2"/>
        <v>1.1339915373765868</v>
      </c>
      <c r="BE12" s="127">
        <f t="shared" si="3"/>
        <v>4.0652985074626864</v>
      </c>
      <c r="BF12" s="127">
        <f t="shared" si="4"/>
        <v>0.51865671641791045</v>
      </c>
      <c r="BG12" s="196">
        <f t="shared" si="5"/>
        <v>4.9906716417910451</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6226</v>
      </c>
      <c r="J13" s="184">
        <f t="shared" si="6"/>
        <v>2012</v>
      </c>
      <c r="K13" s="184">
        <f t="shared" si="6"/>
        <v>1820</v>
      </c>
      <c r="L13" s="184">
        <f t="shared" si="6"/>
        <v>6418</v>
      </c>
      <c r="M13" s="184">
        <f t="shared" si="6"/>
        <v>414</v>
      </c>
      <c r="N13" s="184">
        <f t="shared" si="6"/>
        <v>1004</v>
      </c>
      <c r="O13" s="184">
        <f t="shared" si="6"/>
        <v>757</v>
      </c>
      <c r="P13" s="184">
        <f t="shared" si="6"/>
        <v>452</v>
      </c>
      <c r="Q13" s="184">
        <f t="shared" si="6"/>
        <v>896</v>
      </c>
      <c r="R13" s="184">
        <f t="shared" si="6"/>
        <v>7691</v>
      </c>
      <c r="S13" s="184">
        <f t="shared" si="6"/>
        <v>6435</v>
      </c>
      <c r="T13" s="184">
        <f t="shared" si="6"/>
        <v>1196</v>
      </c>
      <c r="U13" s="184">
        <f t="shared" si="6"/>
        <v>1424</v>
      </c>
      <c r="V13" s="184">
        <f t="shared" si="6"/>
        <v>6238</v>
      </c>
      <c r="W13" s="184">
        <f t="shared" si="6"/>
        <v>318</v>
      </c>
      <c r="X13" s="184">
        <f t="shared" si="6"/>
        <v>843</v>
      </c>
      <c r="Y13" s="184">
        <f t="shared" si="6"/>
        <v>398</v>
      </c>
      <c r="Z13" s="184">
        <f t="shared" si="6"/>
        <v>149</v>
      </c>
      <c r="AA13" s="184">
        <f t="shared" si="6"/>
        <v>186</v>
      </c>
      <c r="AB13" s="184">
        <f t="shared" si="6"/>
        <v>367</v>
      </c>
      <c r="AC13" s="184">
        <f t="shared" si="6"/>
        <v>0</v>
      </c>
      <c r="AD13" s="184">
        <f t="shared" si="6"/>
        <v>0</v>
      </c>
      <c r="AE13" s="184">
        <f t="shared" si="6"/>
        <v>0</v>
      </c>
      <c r="AF13" s="184">
        <f>SUBTOTAL(9,AF9:AF12)</f>
        <v>0</v>
      </c>
      <c r="AG13" s="184">
        <f t="shared" ref="AG13:AT13" si="7">SUBTOTAL(9,AG8:AG12)</f>
        <v>302</v>
      </c>
      <c r="AH13" s="184">
        <f t="shared" si="7"/>
        <v>239</v>
      </c>
      <c r="AI13" s="184">
        <f t="shared" si="7"/>
        <v>201</v>
      </c>
      <c r="AJ13" s="184">
        <f t="shared" si="7"/>
        <v>402</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6737</v>
      </c>
      <c r="AZ13" s="184">
        <f>SUBTOTAL(9,AZ8:AZ12)</f>
        <v>1435</v>
      </c>
      <c r="BA13" s="184">
        <f>SUBTOTAL(9,BA8:BA12)</f>
        <v>1625</v>
      </c>
      <c r="BB13" s="184">
        <f>SUBTOTAL(9,BB8:BB12)</f>
        <v>6640</v>
      </c>
      <c r="BC13" s="184">
        <f>SUBTOTAL(9,BC8:BC12)</f>
        <v>839</v>
      </c>
      <c r="BD13" s="205">
        <f>IF(ISNUMBER(BA13/AZ13),BA13/AZ13," - ")</f>
        <v>1.132404181184669</v>
      </c>
      <c r="BE13" s="206">
        <f>IF(ISNUMBER(BB13/BA13),BB13/BA13, " - ")</f>
        <v>4.086153846153846</v>
      </c>
      <c r="BF13" s="206">
        <f>IF(ISNUMBER(BC13/BA13),BC13/BA13, " - ")</f>
        <v>0.51630769230769236</v>
      </c>
      <c r="BG13" s="207">
        <f>IF(ISNUMBER((AY13+AZ13)/BA13),(AY13+AZ13)/BA13," - ")</f>
        <v>5.0289230769230766</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3062</v>
      </c>
      <c r="J16" s="183">
        <v>1952</v>
      </c>
      <c r="K16" s="183">
        <v>2134</v>
      </c>
      <c r="L16" s="183">
        <v>2895</v>
      </c>
      <c r="M16" s="183">
        <v>209</v>
      </c>
      <c r="N16" s="183">
        <v>1339</v>
      </c>
      <c r="O16" s="181">
        <v>11</v>
      </c>
      <c r="P16" s="183">
        <v>28</v>
      </c>
      <c r="Q16" s="183">
        <v>40</v>
      </c>
      <c r="R16" s="183">
        <v>196</v>
      </c>
      <c r="S16" s="183">
        <v>2281</v>
      </c>
      <c r="T16" s="183">
        <v>2086</v>
      </c>
      <c r="U16" s="183">
        <v>1805</v>
      </c>
      <c r="V16" s="183">
        <v>2601</v>
      </c>
      <c r="W16" s="183">
        <v>173</v>
      </c>
      <c r="X16" s="189">
        <v>1229</v>
      </c>
      <c r="Y16" s="202">
        <v>0</v>
      </c>
      <c r="Z16" s="183">
        <v>0</v>
      </c>
      <c r="AA16" s="183">
        <v>0</v>
      </c>
      <c r="AB16" s="183">
        <v>0</v>
      </c>
      <c r="AC16" s="183">
        <v>7</v>
      </c>
      <c r="AD16" s="183">
        <v>136</v>
      </c>
      <c r="AE16" s="183">
        <v>143</v>
      </c>
      <c r="AF16" s="189">
        <v>0</v>
      </c>
      <c r="AG16" s="202">
        <v>0</v>
      </c>
      <c r="AH16" s="183">
        <v>0</v>
      </c>
      <c r="AI16" s="183">
        <v>0</v>
      </c>
      <c r="AJ16" s="203">
        <v>0</v>
      </c>
      <c r="AK16" s="182">
        <v>109</v>
      </c>
      <c r="AL16" s="183">
        <v>101</v>
      </c>
      <c r="AM16" s="183">
        <v>95</v>
      </c>
      <c r="AN16" s="189">
        <v>115</v>
      </c>
      <c r="AO16" s="259">
        <v>7</v>
      </c>
      <c r="AP16" s="155">
        <v>7</v>
      </c>
      <c r="AQ16" s="155">
        <v>7</v>
      </c>
      <c r="AR16" s="155">
        <v>7</v>
      </c>
      <c r="AS16" s="340" t="s">
        <v>487</v>
      </c>
      <c r="AT16" s="203"/>
      <c r="AU16" s="202"/>
      <c r="AV16" s="203"/>
      <c r="AW16" s="202"/>
      <c r="AX16" s="203"/>
      <c r="AY16" s="126">
        <f t="shared" si="9"/>
        <v>2281</v>
      </c>
      <c r="AZ16" s="127">
        <f t="shared" si="9"/>
        <v>2086</v>
      </c>
      <c r="BA16" s="127">
        <f t="shared" si="9"/>
        <v>1805</v>
      </c>
      <c r="BB16" s="127">
        <f t="shared" si="9"/>
        <v>2601</v>
      </c>
      <c r="BC16" s="125">
        <f>IF(ISNUMBER(W16),W16," - ")</f>
        <v>173</v>
      </c>
      <c r="BD16" s="126">
        <f t="shared" ref="BD16" si="11">IF(ISNUMBER(BA16/AZ16),BA16/AZ16," - ")</f>
        <v>0.86529242569511022</v>
      </c>
      <c r="BE16" s="127">
        <f t="shared" ref="BE16" si="12">IF(ISNUMBER(BB16/BA16),BB16/BA16, " - ")</f>
        <v>1.4409972299168976</v>
      </c>
      <c r="BF16" s="127">
        <f t="shared" ref="BF16" si="13">IF(ISNUMBER(BC16/BA16),BC16/BA16, " - ")</f>
        <v>9.5844875346260391E-2</v>
      </c>
      <c r="BG16" s="196">
        <f t="shared" si="10"/>
        <v>2.4193905817174515</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368</v>
      </c>
      <c r="J17" s="183">
        <v>118</v>
      </c>
      <c r="K17" s="183">
        <v>81</v>
      </c>
      <c r="L17" s="183">
        <v>405</v>
      </c>
      <c r="M17" s="183">
        <v>11</v>
      </c>
      <c r="N17" s="183">
        <v>37</v>
      </c>
      <c r="O17" s="183">
        <v>0</v>
      </c>
      <c r="P17" s="183">
        <v>0</v>
      </c>
      <c r="Q17" s="183">
        <v>0</v>
      </c>
      <c r="R17" s="183">
        <v>3</v>
      </c>
      <c r="S17" s="183">
        <v>375</v>
      </c>
      <c r="T17" s="183">
        <v>142</v>
      </c>
      <c r="U17" s="183">
        <v>124</v>
      </c>
      <c r="V17" s="183">
        <v>297</v>
      </c>
      <c r="W17" s="183">
        <v>12</v>
      </c>
      <c r="X17" s="189">
        <v>99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375</v>
      </c>
      <c r="AZ17" s="129">
        <f t="shared" si="14"/>
        <v>142</v>
      </c>
      <c r="BA17" s="129">
        <f t="shared" si="14"/>
        <v>124</v>
      </c>
      <c r="BB17" s="129">
        <f t="shared" si="14"/>
        <v>297</v>
      </c>
      <c r="BC17" s="125">
        <f>IF(ISNUMBER(W17),W17," - ")</f>
        <v>12</v>
      </c>
      <c r="BD17" s="126">
        <f>IF(ISNUMBER(BA17/AZ17),BA17/AZ17," - ")</f>
        <v>0.87323943661971826</v>
      </c>
      <c r="BE17" s="127">
        <f>IF(ISNUMBER(BB17/BA17),BB17/BA17, " - ")</f>
        <v>2.3951612903225805</v>
      </c>
      <c r="BF17" s="127">
        <f>IF(ISNUMBER(BC17/BA17),BC17/BA17, " - ")</f>
        <v>9.6774193548387094E-2</v>
      </c>
      <c r="BG17" s="196">
        <f>IF(ISNUMBER((AY17+AZ17)/BA17),(AY17+AZ17)/BA17," - ")</f>
        <v>4.169354838709677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3430</v>
      </c>
      <c r="J18" s="184">
        <f t="shared" si="15"/>
        <v>2070</v>
      </c>
      <c r="K18" s="184">
        <f t="shared" si="15"/>
        <v>2215</v>
      </c>
      <c r="L18" s="184">
        <f t="shared" si="15"/>
        <v>3300</v>
      </c>
      <c r="M18" s="184">
        <f t="shared" si="15"/>
        <v>220</v>
      </c>
      <c r="N18" s="184">
        <f t="shared" si="15"/>
        <v>1376</v>
      </c>
      <c r="O18" s="184">
        <f t="shared" si="15"/>
        <v>11</v>
      </c>
      <c r="P18" s="184">
        <f t="shared" si="15"/>
        <v>28</v>
      </c>
      <c r="Q18" s="184">
        <f t="shared" si="15"/>
        <v>40</v>
      </c>
      <c r="R18" s="184">
        <f t="shared" si="15"/>
        <v>199</v>
      </c>
      <c r="S18" s="184">
        <f t="shared" si="15"/>
        <v>2656</v>
      </c>
      <c r="T18" s="184">
        <f t="shared" si="15"/>
        <v>2228</v>
      </c>
      <c r="U18" s="184">
        <f t="shared" si="15"/>
        <v>1929</v>
      </c>
      <c r="V18" s="184">
        <f t="shared" si="15"/>
        <v>2898</v>
      </c>
      <c r="W18" s="184">
        <f t="shared" si="15"/>
        <v>185</v>
      </c>
      <c r="X18" s="184">
        <f t="shared" si="15"/>
        <v>1328</v>
      </c>
      <c r="Y18" s="184">
        <f t="shared" si="15"/>
        <v>0</v>
      </c>
      <c r="Z18" s="184">
        <f t="shared" si="15"/>
        <v>0</v>
      </c>
      <c r="AA18" s="184">
        <f t="shared" si="15"/>
        <v>0</v>
      </c>
      <c r="AB18" s="184">
        <f t="shared" si="15"/>
        <v>0</v>
      </c>
      <c r="AC18" s="184">
        <f t="shared" si="15"/>
        <v>7</v>
      </c>
      <c r="AD18" s="184">
        <f t="shared" si="15"/>
        <v>136</v>
      </c>
      <c r="AE18" s="184">
        <f t="shared" si="15"/>
        <v>143</v>
      </c>
      <c r="AF18" s="184">
        <f t="shared" si="15"/>
        <v>0</v>
      </c>
      <c r="AG18" s="184">
        <f t="shared" si="15"/>
        <v>0</v>
      </c>
      <c r="AH18" s="184">
        <f t="shared" si="15"/>
        <v>0</v>
      </c>
      <c r="AI18" s="184">
        <f t="shared" si="15"/>
        <v>0</v>
      </c>
      <c r="AJ18" s="184">
        <f t="shared" si="15"/>
        <v>0</v>
      </c>
      <c r="AK18" s="184">
        <f t="shared" si="15"/>
        <v>109</v>
      </c>
      <c r="AL18" s="184">
        <f t="shared" si="15"/>
        <v>101</v>
      </c>
      <c r="AM18" s="184">
        <f t="shared" si="15"/>
        <v>95</v>
      </c>
      <c r="AN18" s="184">
        <f t="shared" si="15"/>
        <v>115</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2656</v>
      </c>
      <c r="AZ18" s="184">
        <f>SUBTOTAL(9,AZ14:AZ17)</f>
        <v>2228</v>
      </c>
      <c r="BA18" s="184">
        <f>SUBTOTAL(9,BA14:BA17)</f>
        <v>1929</v>
      </c>
      <c r="BB18" s="184">
        <f>SUBTOTAL(9,BB14:BB17)</f>
        <v>2898</v>
      </c>
      <c r="BC18" s="184">
        <f>SUBTOTAL(9,BC14:BC17)</f>
        <v>185</v>
      </c>
      <c r="BD18" s="205">
        <f>IF(ISNUMBER(BA18/AZ18),BA18/AZ18," - ")</f>
        <v>0.86579892280071813</v>
      </c>
      <c r="BE18" s="206">
        <f>IF(ISNUMBER(BB18/BA18),BB18/BA18, " - ")</f>
        <v>1.5023328149300155</v>
      </c>
      <c r="BF18" s="206">
        <f>IF(ISNUMBER(BC18/BA18),BC18/BA18, " - ")</f>
        <v>9.5904613789528248E-2</v>
      </c>
      <c r="BG18" s="207">
        <f>IF(ISNUMBER((AY18+AZ18)/BA18),(AY18+AZ18)/BA18," - ")</f>
        <v>2.5318818040435458</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9656</v>
      </c>
      <c r="J19" s="134">
        <f t="shared" si="18"/>
        <v>4082</v>
      </c>
      <c r="K19" s="134">
        <f t="shared" si="18"/>
        <v>4035</v>
      </c>
      <c r="L19" s="134">
        <f t="shared" si="18"/>
        <v>9718</v>
      </c>
      <c r="M19" s="134">
        <f t="shared" si="18"/>
        <v>634</v>
      </c>
      <c r="N19" s="134">
        <f t="shared" si="18"/>
        <v>2380</v>
      </c>
      <c r="O19" s="134">
        <f t="shared" si="18"/>
        <v>768</v>
      </c>
      <c r="P19" s="134">
        <f t="shared" si="18"/>
        <v>480</v>
      </c>
      <c r="Q19" s="134">
        <f t="shared" si="18"/>
        <v>936</v>
      </c>
      <c r="R19" s="134">
        <f t="shared" si="18"/>
        <v>7890</v>
      </c>
      <c r="S19" s="134">
        <f t="shared" si="18"/>
        <v>9091</v>
      </c>
      <c r="T19" s="134">
        <f t="shared" si="18"/>
        <v>3424</v>
      </c>
      <c r="U19" s="134">
        <f t="shared" si="18"/>
        <v>3353</v>
      </c>
      <c r="V19" s="134">
        <f t="shared" si="18"/>
        <v>9136</v>
      </c>
      <c r="W19" s="134">
        <f t="shared" si="18"/>
        <v>503</v>
      </c>
      <c r="X19" s="134">
        <f t="shared" si="18"/>
        <v>2171</v>
      </c>
      <c r="Y19" s="134">
        <f t="shared" si="18"/>
        <v>398</v>
      </c>
      <c r="Z19" s="134">
        <f t="shared" si="18"/>
        <v>149</v>
      </c>
      <c r="AA19" s="134">
        <f t="shared" si="18"/>
        <v>186</v>
      </c>
      <c r="AB19" s="134">
        <f t="shared" si="18"/>
        <v>367</v>
      </c>
      <c r="AC19" s="134">
        <f t="shared" si="18"/>
        <v>7</v>
      </c>
      <c r="AD19" s="134">
        <f t="shared" si="18"/>
        <v>136</v>
      </c>
      <c r="AE19" s="134">
        <f t="shared" si="18"/>
        <v>143</v>
      </c>
      <c r="AF19" s="134">
        <f t="shared" si="18"/>
        <v>0</v>
      </c>
      <c r="AG19" s="134">
        <f t="shared" si="18"/>
        <v>302</v>
      </c>
      <c r="AH19" s="134">
        <f t="shared" si="18"/>
        <v>239</v>
      </c>
      <c r="AI19" s="134">
        <f t="shared" si="18"/>
        <v>201</v>
      </c>
      <c r="AJ19" s="134">
        <f t="shared" si="18"/>
        <v>402</v>
      </c>
      <c r="AK19" s="134">
        <f t="shared" si="18"/>
        <v>109</v>
      </c>
      <c r="AL19" s="134">
        <f t="shared" si="18"/>
        <v>101</v>
      </c>
      <c r="AM19" s="134">
        <f t="shared" si="18"/>
        <v>95</v>
      </c>
      <c r="AN19" s="210">
        <f t="shared" si="18"/>
        <v>115</v>
      </c>
      <c r="AO19" s="211">
        <v>8</v>
      </c>
      <c r="AP19" s="211">
        <v>7</v>
      </c>
      <c r="AQ19" s="211">
        <v>7</v>
      </c>
      <c r="AR19" s="211">
        <v>7</v>
      </c>
      <c r="AS19" s="153">
        <f t="shared" si="18"/>
        <v>0</v>
      </c>
      <c r="AT19" s="153">
        <f t="shared" si="18"/>
        <v>0</v>
      </c>
      <c r="AU19" s="211"/>
      <c r="AV19" s="212"/>
      <c r="AW19" s="211"/>
      <c r="AX19" s="212"/>
      <c r="AY19" s="133">
        <f>SUBTOTAL(9,AY9:AY18)</f>
        <v>9393</v>
      </c>
      <c r="AZ19" s="134">
        <f>SUBTOTAL(9,AZ9:AZ18)</f>
        <v>3663</v>
      </c>
      <c r="BA19" s="134">
        <f>SUBTOTAL(9,BA9:BA18)</f>
        <v>3554</v>
      </c>
      <c r="BB19" s="134">
        <f>SUBTOTAL(9,BB9:BB18)</f>
        <v>9538</v>
      </c>
      <c r="BC19" s="135">
        <f>SUBTOTAL(9,BC9:BC18)</f>
        <v>1024</v>
      </c>
      <c r="BD19" s="213">
        <f>IF(ISNUMBER(BA19/AZ19),BA19/AZ19," - ")</f>
        <v>0.97024297024297024</v>
      </c>
      <c r="BE19" s="210">
        <f>IF(ISNUMBER(BB19/BA19),BB19/BA19, " - ")</f>
        <v>2.6837366347777154</v>
      </c>
      <c r="BF19" s="210">
        <f>IF(ISNUMBER(BC19/BA19),BC19/BA19, " - ")</f>
        <v>0.28812605514912776</v>
      </c>
      <c r="BG19" s="135">
        <f>IF(ISNUMBER((AY19+AZ19)/BA19),(AY19+AZ19)/BA19," - ")</f>
        <v>3.6736072031513789</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Wajtf6NLWwYDsygaJQszEe0UEYAEwl1snqMcsu4vFsWxc84HUI9uAxh2NA1pvx2IPrqDgF2TEXyLJq/K+MYQ==" saltValue="Yk6FpR4ZfpUEkDFk5dHCz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n5zLwqcf0MsGqSKW1fa8d2okOqh36xwhHUH8ivFQTNuGvLyvagc5Pcz7N5z1TzqaIz9X+VjHI5QvWWIMlk2BQ==" saltValue="VeuBnrjVmts5b48edPQUd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MARTORELL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98</v>
      </c>
      <c r="G10" s="333">
        <f>IF(ISNUMBER(Datos!I10),Datos!I10," - ")</f>
        <v>98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2</v>
      </c>
      <c r="AD10" s="334"/>
      <c r="AE10" s="484"/>
      <c r="AF10" s="332">
        <f>IF(ISNUMBER(Datos!L10),Datos!L10,"-")</f>
        <v>110</v>
      </c>
      <c r="AG10" s="334"/>
      <c r="AH10" s="334"/>
      <c r="AI10" s="334"/>
      <c r="AJ10" s="334"/>
      <c r="AK10" s="334"/>
      <c r="AL10" s="479"/>
      <c r="AM10" s="335">
        <f>IF(ISNUMBER(Datos!R10),Datos!R10," - ")</f>
        <v>87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5</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27.5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2.3529411764705882E-2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149</v>
      </c>
      <c r="O12" s="334"/>
      <c r="P12" s="334"/>
      <c r="Q12" s="226">
        <f>IF(ISNUMBER(Datos!P12),Datos!P12,0)</f>
        <v>448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894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367</v>
      </c>
      <c r="AI12" s="334" t="str">
        <f>IF(ISNUMBER(Datos!CD12),Datos!CD12,"-")</f>
        <v>-</v>
      </c>
      <c r="AJ12" s="334" t="str">
        <f>IF(ISNUMBER(Datos!EN12),Datos!EN12," - ")</f>
        <v xml:space="preserve"> - </v>
      </c>
      <c r="AK12" s="334"/>
      <c r="AL12" s="479"/>
      <c r="AM12" s="335">
        <f>IF(ISNUMBER(Datos!R12),Datos!R12," - ")</f>
        <v>7604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410</v>
      </c>
      <c r="BD12" s="229">
        <f>IF(ISNUMBER(Datos!N12),Datos!N12," - ")</f>
        <v>999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0.93308376228357515</v>
      </c>
      <c r="BH12" s="260">
        <f>IF(ISNUMBER(((IF(J_V="SI",Datos!L12/Datos!K12,(Datos!L12+Datos!AB12)/(Datos!K12+Datos!AA12)))*11)/factor_trimestre),((IF(J_V="SI",Datos!L12/Datos!K12,(Datos!L12+Datos!AB12)/(Datos!K12+Datos!AA12)))*11)/factor_trimestre," - ")</f>
        <v>10.042627883650955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-5.5403726708074537E-2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98</v>
      </c>
      <c r="G13" s="898">
        <f t="shared" si="0"/>
        <v>98</v>
      </c>
      <c r="H13" s="899">
        <f t="shared" si="0"/>
        <v>0</v>
      </c>
      <c r="I13" s="898">
        <f t="shared" si="0"/>
        <v>0</v>
      </c>
      <c r="J13" s="867">
        <f t="shared" si="0"/>
        <v>0</v>
      </c>
      <c r="K13" s="867">
        <f t="shared" si="0"/>
        <v>0</v>
      </c>
      <c r="L13" s="899">
        <f t="shared" si="0"/>
        <v>0</v>
      </c>
      <c r="M13" s="899">
        <f t="shared" si="0"/>
        <v>0</v>
      </c>
      <c r="N13" s="899">
        <f t="shared" si="0"/>
        <v>149</v>
      </c>
      <c r="O13" s="900">
        <f t="shared" si="0"/>
        <v>0</v>
      </c>
      <c r="P13" s="900">
        <f t="shared" si="0"/>
        <v>0</v>
      </c>
      <c r="Q13" s="899">
        <f t="shared" si="0"/>
        <v>452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896</v>
      </c>
      <c r="AD13" s="899">
        <f t="shared" si="1"/>
        <v>0</v>
      </c>
      <c r="AE13" s="899">
        <f t="shared" si="1"/>
        <v>0</v>
      </c>
      <c r="AF13" s="899">
        <f t="shared" si="1"/>
        <v>110</v>
      </c>
      <c r="AG13" s="899">
        <f t="shared" si="1"/>
        <v>0</v>
      </c>
      <c r="AH13" s="899">
        <f t="shared" si="1"/>
        <v>367</v>
      </c>
      <c r="AI13" s="899">
        <f t="shared" si="1"/>
        <v>0</v>
      </c>
      <c r="AJ13" s="899">
        <f t="shared" si="1"/>
        <v>0</v>
      </c>
      <c r="AK13" s="899">
        <f t="shared" si="1"/>
        <v>0</v>
      </c>
      <c r="AL13" s="899">
        <f t="shared" si="1"/>
        <v>0</v>
      </c>
      <c r="AM13" s="899">
        <f t="shared" si="1"/>
        <v>7691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414</v>
      </c>
      <c r="BD13" s="899">
        <f t="shared" si="1"/>
        <v>1004</v>
      </c>
      <c r="BE13" s="899">
        <f t="shared" si="1"/>
        <v>0</v>
      </c>
      <c r="BF13" s="899">
        <f t="shared" si="1"/>
        <v>0</v>
      </c>
      <c r="BG13" s="899">
        <f>IF(ISNUMBER(Datos!K13/Datos!J13),Datos!K13/Datos!J13," - ")</f>
        <v>0.90457256461232605</v>
      </c>
      <c r="BH13" s="903">
        <f>IF(ISNUMBER(((Datos!L13/Datos!K13)*11)/factor_trimestre),((Datos!L13/Datos!K13)*11)/factor_trimestre," - ")</f>
        <v>10.579120879120879</v>
      </c>
      <c r="BI13" s="899">
        <f>IF(ISNUMBER('Resol  Asuntos'!D13/NºAsuntos!G13),'Resol  Asuntos'!D13/NºAsuntos!G13," - ")</f>
        <v>0.20638085742771686</v>
      </c>
      <c r="BJ13" s="899" t="str">
        <f>IF(ISNUMBER(Datos!CI13/Datos!CJ13),Datos!CI13/Datos!CJ13," - ")</f>
        <v xml:space="preserve"> - </v>
      </c>
      <c r="BK13" s="899">
        <f>SUBTOTAL(9,BK8:BK12)</f>
        <v>0</v>
      </c>
      <c r="BL13" s="899">
        <f>IF(ISNUMBER((I13-AB13+L13)/(F13)),(I13-AB13+L13)/(F13)," - ")</f>
        <v>-0.12244897959183673</v>
      </c>
      <c r="BM13" s="904">
        <f>SUBTOTAL(9,BM9:BM12)</f>
        <v>-3.1874314943368655E-2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3077</v>
      </c>
      <c r="G16" s="598">
        <f>IF(ISNUMBER(IF(D_I="SI",Datos!I16,Datos!I16+Datos!AC16)),IF(D_I="SI",Datos!I16,Datos!I16+Datos!AC16)," - ")</f>
        <v>3062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2134</v>
      </c>
      <c r="AC16" s="226">
        <f>IF(ISNUMBER(Datos!Q16),Datos!Q16," - ")</f>
        <v>40</v>
      </c>
      <c r="AD16" s="334"/>
      <c r="AE16" s="484"/>
      <c r="AF16" s="596">
        <f>IF(ISNUMBER(IF(D_I="SI",Datos!L16,Datos!L16+Datos!AF16)),IF(D_I="SI",Datos!L16,Datos!L16+Datos!AF16)," - ")</f>
        <v>2895</v>
      </c>
      <c r="AG16" s="334"/>
      <c r="AH16" s="334"/>
      <c r="AI16" s="334"/>
      <c r="AJ16" s="334"/>
      <c r="AK16" s="334"/>
      <c r="AL16" s="479"/>
      <c r="AM16" s="335">
        <f>IF(ISNUMBER(Datos!R16),Datos!R16," - ")</f>
        <v>196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209</v>
      </c>
      <c r="BD16" s="229">
        <f>IF(ISNUMBER(Datos!N16),Datos!N16," - ")</f>
        <v>1339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1.0932377049180328</v>
      </c>
      <c r="BH16" s="260">
        <f>IF(ISNUMBER(((IF(D_I="SI",Datos!L16/Datos!K16,(Datos!L16+Datos!AF16)/(Datos!K16+Datos!AE16)))*11)/factor_trimestre),((IF(D_I="SI",Datos!L16/Datos!K16,(Datos!L16+Datos!AF16)/(Datos!K16+Datos!AE16)))*11)/factor_trimestre," - ")</f>
        <v>4.0698219306466727</v>
      </c>
      <c r="BI16" s="243">
        <f>IF(ISNUMBER('Resol  Asuntos'!D16/NºAsuntos!G16),'Resol  Asuntos'!D16/NºAsuntos!G16," - ")</f>
        <v>9.7938144329896906E-2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81</v>
      </c>
      <c r="AC17" s="226">
        <f>IF(ISNUMBER(Datos!Q17),Datos!Q17," - ")</f>
        <v>0</v>
      </c>
      <c r="AD17" s="334"/>
      <c r="AE17" s="484"/>
      <c r="AF17" s="332">
        <f>IF(ISNUMBER(Datos!L17),Datos!L17,"-")</f>
        <v>405</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37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0.68644067796610164</v>
      </c>
      <c r="BH17" s="260">
        <f>IF(ISNUMBER(((IF(D_I="SI",Datos!L17/Datos!K17,(Datos!L17+Datos!AF17)/(Datos!K17+Datos!AE17)))*11)/factor_trimestre),((IF(D_I="SI",Datos!L17/Datos!K17,(Datos!L17+Datos!AF17)/(Datos!K17+Datos!AE17)))*11)/factor_trimestre," - ")</f>
        <v>15</v>
      </c>
      <c r="BI17" s="243">
        <f>IF(ISNUMBER('Resol  Asuntos'!D17/NºAsuntos!G17),'Resol  Asuntos'!D17/NºAsuntos!G17," - ")</f>
        <v>0.13580246913580246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3077</v>
      </c>
      <c r="G18" s="898">
        <f>SUBTOTAL(9,G15:G17)</f>
        <v>3430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2215</v>
      </c>
      <c r="AC18" s="899">
        <f t="shared" si="4"/>
        <v>40</v>
      </c>
      <c r="AD18" s="899">
        <f t="shared" si="4"/>
        <v>0</v>
      </c>
      <c r="AE18" s="899">
        <f t="shared" si="4"/>
        <v>0</v>
      </c>
      <c r="AF18" s="899">
        <f t="shared" si="4"/>
        <v>3300</v>
      </c>
      <c r="AG18" s="899">
        <f t="shared" si="4"/>
        <v>0</v>
      </c>
      <c r="AH18" s="899">
        <f t="shared" si="4"/>
        <v>0</v>
      </c>
      <c r="AI18" s="899">
        <f t="shared" si="4"/>
        <v>0</v>
      </c>
      <c r="AJ18" s="899">
        <f t="shared" si="4"/>
        <v>0</v>
      </c>
      <c r="AK18" s="899">
        <f t="shared" si="4"/>
        <v>0</v>
      </c>
      <c r="AL18" s="899">
        <f t="shared" si="4"/>
        <v>0</v>
      </c>
      <c r="AM18" s="899">
        <f t="shared" si="4"/>
        <v>199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220</v>
      </c>
      <c r="BD18" s="899">
        <f t="shared" si="4"/>
        <v>1376</v>
      </c>
      <c r="BE18" s="899">
        <f t="shared" si="4"/>
        <v>0</v>
      </c>
      <c r="BF18" s="899">
        <f t="shared" si="4"/>
        <v>0</v>
      </c>
      <c r="BG18" s="899">
        <f>IF(ISNUMBER(Datos!K18/Datos!J18),Datos!K18/Datos!J18," - ")</f>
        <v>1.0700483091787441</v>
      </c>
      <c r="BH18" s="903">
        <f>IF(ISNUMBER(((Datos!L18/Datos!K18)*11)/factor_trimestre),((Datos!L18/Datos!K18)*11)/factor_trimestre," - ")</f>
        <v>4.4695259593679459</v>
      </c>
      <c r="BI18" s="899">
        <f>SUBTOTAL(9,BI15:BI17)</f>
        <v>0.23374061346569935</v>
      </c>
      <c r="BJ18" s="899">
        <f>SUBTOTAL(9,BJ15:BJ17)</f>
        <v>0</v>
      </c>
      <c r="BK18" s="899">
        <f>SUBTOTAL(9,BK15:BK17)</f>
        <v>0</v>
      </c>
      <c r="BL18" s="899">
        <f>IF(ISNUMBER((I18-AB18+L18)/(F18)),(I18-AB18+L18)/(F18)," - ")</f>
        <v>-0.71985700357491067</v>
      </c>
      <c r="BM18" s="905">
        <f>IF(ISNUMBER((Datos!P18-Datos!Q18)/(Datos!R18-Datos!P18+Datos!Q18)),(Datos!P18-Datos!Q18)/(Datos!R18-Datos!P18+Datos!Q18)," - ")</f>
        <v>-5.6872037914691941E-2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3175</v>
      </c>
      <c r="G19" s="820">
        <f t="shared" si="6"/>
        <v>3528</v>
      </c>
      <c r="H19" s="822">
        <f t="shared" si="6"/>
        <v>0</v>
      </c>
      <c r="I19" s="820">
        <f t="shared" si="6"/>
        <v>0</v>
      </c>
      <c r="J19" s="822">
        <f t="shared" si="6"/>
        <v>0</v>
      </c>
      <c r="K19" s="822">
        <f t="shared" si="6"/>
        <v>0</v>
      </c>
      <c r="L19" s="881">
        <f t="shared" si="6"/>
        <v>0</v>
      </c>
      <c r="M19" s="881">
        <f t="shared" si="6"/>
        <v>0</v>
      </c>
      <c r="N19" s="881">
        <f t="shared" si="6"/>
        <v>149</v>
      </c>
      <c r="O19" s="881">
        <f t="shared" si="6"/>
        <v>0</v>
      </c>
      <c r="P19" s="881">
        <f t="shared" si="6"/>
        <v>0</v>
      </c>
      <c r="Q19" s="822">
        <f t="shared" si="6"/>
        <v>480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2227</v>
      </c>
      <c r="AC19" s="821">
        <f t="shared" si="7"/>
        <v>936</v>
      </c>
      <c r="AD19" s="821">
        <f t="shared" si="7"/>
        <v>0</v>
      </c>
      <c r="AE19" s="821">
        <f t="shared" si="7"/>
        <v>0</v>
      </c>
      <c r="AF19" s="828">
        <f t="shared" si="7"/>
        <v>3410</v>
      </c>
      <c r="AG19" s="828">
        <f t="shared" si="7"/>
        <v>0</v>
      </c>
      <c r="AH19" s="828">
        <f t="shared" si="7"/>
        <v>367</v>
      </c>
      <c r="AI19" s="828">
        <f t="shared" si="7"/>
        <v>0</v>
      </c>
      <c r="AJ19" s="821">
        <f t="shared" si="7"/>
        <v>0</v>
      </c>
      <c r="AK19" s="828">
        <f t="shared" si="7"/>
        <v>0</v>
      </c>
      <c r="AL19" s="828">
        <f t="shared" si="7"/>
        <v>0</v>
      </c>
      <c r="AM19" s="828">
        <f t="shared" si="7"/>
        <v>7890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634</v>
      </c>
      <c r="BD19" s="820">
        <f t="shared" si="7"/>
        <v>2380</v>
      </c>
      <c r="BE19" s="820">
        <f t="shared" si="7"/>
        <v>0</v>
      </c>
      <c r="BF19" s="830">
        <f t="shared" si="7"/>
        <v>0</v>
      </c>
      <c r="BG19" s="915">
        <f>IF(ISNUMBER(Datos!K19/Datos!J19),Datos!K19/Datos!J19," - ")</f>
        <v>0.98848603625673692</v>
      </c>
      <c r="BH19" s="915">
        <f>IF(ISNUMBER(((Datos!L19/Datos!K19)*11)/factor_trimestre),((Datos!L19/Datos!K19)*11)/factor_trimestre," - ")</f>
        <v>7.2252788104089234</v>
      </c>
      <c r="BI19" s="813">
        <f>IF(ISNUMBER(Datos!J19/Datos!I19),Datos!J19/Datos!I19," - ")</f>
        <v>0.4227423363711682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-0.70141732283464564</v>
      </c>
      <c r="BM19" s="889">
        <f>IF(ISNUMBER((Datos!P19-Datos!Q19+R19)/(Datos!R19-Datos!P19+Datos!Q19-R19)),(Datos!P19-Datos!Q19+R19)/(Datos!R19-Datos!P19+Datos!Q19-R19)," - ")</f>
        <v>-5.4636951833213515E-2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1411.2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1719.9264519158951</v>
      </c>
      <c r="G21" s="552">
        <f>IF(ISNUMBER(STDEV(G8:G18)),STDEV(G8:G18),"-")</f>
        <v>1683.5935376449982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1172.5407029182397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180.96592681128308</v>
      </c>
      <c r="BD21" s="551"/>
      <c r="BE21" s="551">
        <f>IF(ISNUMBER(STDEV(BE8:BE18)),STDEV(BE8:BE18),"-")</f>
        <v>0</v>
      </c>
      <c r="BF21" s="556">
        <f>IF(ISNUMBER(STDEV(BF8:BF18)),STDEV(BF8:BF18),"-")</f>
        <v>0</v>
      </c>
      <c r="BG21" s="775">
        <f>IF(ISNUMBER(STDEV(BG8:BG18)),STDEV(BG8:BG18),"-")</f>
        <v>0.23041090931358904</v>
      </c>
      <c r="BH21" s="776">
        <f>IF(ISNUMBER(STDEV(BH8:BH18)),STDEV(BH8:BH18),"-")</f>
        <v>8.6565215183294573</v>
      </c>
      <c r="BI21" s="249">
        <f>IF(ISNUMBER(STDEV(BI8:BI18)),STDEV(BI8:BI18),"-")</f>
        <v>6.2555032437799404E-2</v>
      </c>
      <c r="BJ21" s="230" t="str">
        <f>IF(ISNUMBER(BL21/BM21),BL21/BM21," - ")</f>
        <v xml:space="preserve"> - </v>
      </c>
      <c r="BK21" s="575"/>
      <c r="BL21" s="559">
        <f>IF(ISNUMBER(STDEV(BL8:BL18)),STDEV(BL8:BL18),"-")</f>
        <v>0.42243126489368721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4O3TS2T0SUEbvDBW1F7xumA5rA12BxxZJilVjKovjNTmVjff+/4jdJ6dGYCWXCG/LydNRRgdgrIh5hwLntOunQ==" saltValue="jdW/JDb/v1lf8LS4T07Ku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MARTORELL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98</v>
      </c>
      <c r="G10" s="225">
        <f>IF(ISNUMBER(Datos!I10),Datos!I10," - ")</f>
        <v>98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2</v>
      </c>
      <c r="AA10" s="332">
        <f>IF(ISNUMBER(Datos!L10),Datos!L10,"-")</f>
        <v>110</v>
      </c>
      <c r="AB10" s="334"/>
      <c r="AC10" s="334"/>
      <c r="AD10" s="484"/>
      <c r="AE10" s="484">
        <f>IF(ISNUMBER(Datos!R10),Datos!R10," - ")</f>
        <v>87</v>
      </c>
      <c r="AF10" s="229" t="str">
        <f>IF(ISNUMBER(Datos!BV10),Datos!BV10," - ")</f>
        <v xml:space="preserve"> - </v>
      </c>
      <c r="AG10" s="225" t="str">
        <f>IF(ISNUMBER(Datos!DV10),Datos!DV10," - ")</f>
        <v xml:space="preserve"> - </v>
      </c>
      <c r="AH10" s="298"/>
      <c r="AI10" s="227"/>
      <c r="AJ10" s="225">
        <f>IF(ISNUMBER(Datos!M10),Datos!M10," - ")</f>
        <v>4</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2.3529411764705882E-2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448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894</v>
      </c>
      <c r="AA12" s="332" t="str">
        <f>IF(ISNUMBER(IF(J_V="SI",Datos!L12,Datos!L12+Datos!AB12)-IF(Monitorios="SI",Datos!CD12,0)),
                          IF(J_V="SI",Datos!L12,Datos!L12+Datos!AB12)-IF(Monitorios="SI",Datos!CD12,0),
                          " - ")</f>
        <v xml:space="preserve"> - </v>
      </c>
      <c r="AB12" s="334"/>
      <c r="AC12" s="334"/>
      <c r="AD12" s="484"/>
      <c r="AE12" s="484">
        <f>IF(ISNUMBER(Datos!R12),Datos!R12," - ")</f>
        <v>7604</v>
      </c>
      <c r="AF12" s="229" t="str">
        <f>IF(ISNUMBER(Datos!BV12),Datos!BV12," - ")</f>
        <v xml:space="preserve"> - </v>
      </c>
      <c r="AG12" s="225" t="str">
        <f>IF(ISNUMBER(Datos!DV12),Datos!DV12," - ")</f>
        <v xml:space="preserve"> - </v>
      </c>
      <c r="AH12" s="298"/>
      <c r="AI12" s="227"/>
      <c r="AJ12" s="225">
        <f>IF(ISNUMBER(Datos!M12),Datos!M12," - ")</f>
        <v>410</v>
      </c>
      <c r="AK12" s="229">
        <f>IF(ISNUMBER(Datos!N12),Datos!N12," - ")</f>
        <v>999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10.042627883650955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-5.5403726708074537E-2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98</v>
      </c>
      <c r="G13" s="898">
        <f>SUBTOTAL(9,G8:G12)</f>
        <v>98</v>
      </c>
      <c r="H13" s="908"/>
      <c r="I13" s="898">
        <f t="shared" ref="I13:N13" si="0">SUBTOTAL(9,I8:I12)</f>
        <v>0</v>
      </c>
      <c r="J13" s="867">
        <f t="shared" si="0"/>
        <v>0</v>
      </c>
      <c r="K13" s="908">
        <f t="shared" si="0"/>
        <v>0</v>
      </c>
      <c r="L13" s="908">
        <f t="shared" si="0"/>
        <v>0</v>
      </c>
      <c r="M13" s="908">
        <f t="shared" si="0"/>
        <v>0</v>
      </c>
      <c r="N13" s="908">
        <f t="shared" si="0"/>
        <v>452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896</v>
      </c>
      <c r="AA13" s="900">
        <f t="shared" si="2"/>
        <v>110</v>
      </c>
      <c r="AB13" s="900">
        <f t="shared" si="2"/>
        <v>0</v>
      </c>
      <c r="AC13" s="900">
        <f t="shared" si="2"/>
        <v>0</v>
      </c>
      <c r="AD13" s="900">
        <f t="shared" si="2"/>
        <v>0</v>
      </c>
      <c r="AE13" s="900">
        <f t="shared" si="2"/>
        <v>7691</v>
      </c>
      <c r="AF13" s="908">
        <f t="shared" si="2"/>
        <v>0</v>
      </c>
      <c r="AG13" s="908">
        <f t="shared" si="2"/>
        <v>0</v>
      </c>
      <c r="AH13" s="908">
        <f t="shared" si="2"/>
        <v>0</v>
      </c>
      <c r="AI13" s="908">
        <f t="shared" si="2"/>
        <v>0</v>
      </c>
      <c r="AJ13" s="908">
        <f t="shared" si="2"/>
        <v>414</v>
      </c>
      <c r="AK13" s="908">
        <f t="shared" si="2"/>
        <v>1004</v>
      </c>
      <c r="AL13" s="908">
        <f t="shared" si="2"/>
        <v>0</v>
      </c>
      <c r="AM13" s="908">
        <f t="shared" si="2"/>
        <v>0</v>
      </c>
      <c r="AN13" s="908">
        <f t="shared" si="2"/>
        <v>0</v>
      </c>
      <c r="AO13" s="904">
        <f>IF(ISNUMBER(((NºAsuntos!I13/NºAsuntos!G13)*11)/factor_trimestre),((NºAsuntos!I13/NºAsuntos!G13)*11)/factor_trimestre," - ")</f>
        <v>10.147058823529411</v>
      </c>
      <c r="AP13" s="910" t="str">
        <f>IF(ISNUMBER(Datos!CI13/Datos!CJ13),Datos!CI13/Datos!CJ13," - ")</f>
        <v xml:space="preserve"> - </v>
      </c>
      <c r="AQ13" s="928">
        <f t="shared" ref="AQ13:AV13" si="3">SUBTOTAL(9,AQ9:AQ12)</f>
        <v>0</v>
      </c>
      <c r="AR13" s="928">
        <f t="shared" si="3"/>
        <v>-3.1874314943368655E-2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3077</v>
      </c>
      <c r="G16" s="225">
        <f>IF(ISNUMBER(IF(D_I="SI",Datos!I16,Datos!I16+Datos!AC16)),IF(D_I="SI",Datos!I16,Datos!I16+Datos!AC16)," - ")</f>
        <v>3062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2134</v>
      </c>
      <c r="Z16" s="619">
        <f>IF(ISNUMBER(Datos!Q16),Datos!Q16," - ")</f>
        <v>40</v>
      </c>
      <c r="AA16" s="332">
        <f>IF(ISNUMBER(IF(D_I="SI",Datos!L16,Datos!L16+Datos!AF16)),IF(D_I="SI",Datos!L16,Datos!L16+Datos!AF16)," - ")</f>
        <v>2895</v>
      </c>
      <c r="AB16" s="334"/>
      <c r="AC16" s="334"/>
      <c r="AD16" s="484"/>
      <c r="AE16" s="484">
        <f>IF(ISNUMBER(Datos!R16),Datos!R16," - ")</f>
        <v>196</v>
      </c>
      <c r="AF16" s="229" t="str">
        <f>IF(ISNUMBER(Datos!BV16),Datos!BV16," - ")</f>
        <v xml:space="preserve"> - </v>
      </c>
      <c r="AG16" s="225"/>
      <c r="AH16" s="298"/>
      <c r="AI16" s="227"/>
      <c r="AJ16" s="225">
        <f>IF(ISNUMBER(Datos!M16),Datos!M16," - ")</f>
        <v>209</v>
      </c>
      <c r="AK16" s="229">
        <f>IF(ISNUMBER(Datos!N16),Datos!N16," - ")</f>
        <v>1339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4.0698219306466727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81</v>
      </c>
      <c r="Z17" s="619">
        <f>IF(ISNUMBER(Datos!Q17),Datos!Q17," - ")</f>
        <v>0</v>
      </c>
      <c r="AA17" s="332">
        <f>IF(ISNUMBER(Datos!L17),Datos!L17,"-")</f>
        <v>405</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11</v>
      </c>
      <c r="AK17" s="229">
        <f>IF(ISNUMBER(Datos!N17),Datos!N17," - ")</f>
        <v>37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3077</v>
      </c>
      <c r="G18" s="898">
        <f>SUBTOTAL(9,G15:G17)</f>
        <v>3430</v>
      </c>
      <c r="H18" s="932">
        <f>SUBTOTAL(9,H15:H17)</f>
        <v>0</v>
      </c>
      <c r="I18" s="911">
        <f>SUBTOTAL(9,I15:I17)</f>
        <v>0</v>
      </c>
      <c r="J18" s="867">
        <f>SUBTOTAL(9,J14:J17)</f>
        <v>0</v>
      </c>
      <c r="K18" s="932">
        <f t="shared" ref="K18:S18" si="4">SUBTOTAL(9,K15:K17)</f>
        <v>0</v>
      </c>
      <c r="L18" s="932">
        <f t="shared" si="4"/>
        <v>0</v>
      </c>
      <c r="M18" s="932">
        <f t="shared" si="4"/>
        <v>0</v>
      </c>
      <c r="N18" s="932">
        <f t="shared" si="4"/>
        <v>28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2215</v>
      </c>
      <c r="Z18" s="932">
        <f t="shared" si="5"/>
        <v>40</v>
      </c>
      <c r="AA18" s="932">
        <f t="shared" si="5"/>
        <v>3300</v>
      </c>
      <c r="AB18" s="932">
        <f t="shared" si="5"/>
        <v>0</v>
      </c>
      <c r="AC18" s="932">
        <f t="shared" si="5"/>
        <v>0</v>
      </c>
      <c r="AD18" s="932">
        <f t="shared" si="5"/>
        <v>0</v>
      </c>
      <c r="AE18" s="932">
        <f t="shared" si="5"/>
        <v>199</v>
      </c>
      <c r="AF18" s="932">
        <f t="shared" si="5"/>
        <v>0</v>
      </c>
      <c r="AG18" s="932">
        <f t="shared" si="5"/>
        <v>0</v>
      </c>
      <c r="AH18" s="932">
        <f t="shared" si="5"/>
        <v>0</v>
      </c>
      <c r="AI18" s="932">
        <f t="shared" si="5"/>
        <v>0</v>
      </c>
      <c r="AJ18" s="932">
        <f t="shared" si="5"/>
        <v>220</v>
      </c>
      <c r="AK18" s="932">
        <f t="shared" si="5"/>
        <v>1376</v>
      </c>
      <c r="AL18" s="932">
        <f t="shared" si="5"/>
        <v>0</v>
      </c>
      <c r="AM18" s="932">
        <f t="shared" si="5"/>
        <v>0</v>
      </c>
      <c r="AN18" s="932">
        <f t="shared" si="5"/>
        <v>0</v>
      </c>
      <c r="AO18" s="934">
        <f>IF(ISNUMBER(((NºAsuntos!I18/NºAsuntos!G18)*11)/factor_trimestre),((NºAsuntos!I18/NºAsuntos!G18)*11)/factor_trimestre," - ")</f>
        <v>4.4695259593679459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3175</v>
      </c>
      <c r="G19" s="820">
        <f t="shared" si="7"/>
        <v>3528</v>
      </c>
      <c r="H19" s="821">
        <f t="shared" si="7"/>
        <v>0</v>
      </c>
      <c r="I19" s="820">
        <f t="shared" si="7"/>
        <v>0</v>
      </c>
      <c r="J19" s="822">
        <f t="shared" si="7"/>
        <v>0</v>
      </c>
      <c r="K19" s="820">
        <f t="shared" si="7"/>
        <v>0</v>
      </c>
      <c r="L19" s="823">
        <f t="shared" si="7"/>
        <v>0</v>
      </c>
      <c r="M19" s="820">
        <f t="shared" si="7"/>
        <v>0</v>
      </c>
      <c r="N19" s="821">
        <f t="shared" si="7"/>
        <v>480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2227</v>
      </c>
      <c r="Z19" s="827">
        <f t="shared" si="8"/>
        <v>936</v>
      </c>
      <c r="AA19" s="828">
        <f t="shared" si="8"/>
        <v>3410</v>
      </c>
      <c r="AB19" s="828">
        <f t="shared" si="8"/>
        <v>0</v>
      </c>
      <c r="AC19" s="828">
        <f t="shared" si="8"/>
        <v>0</v>
      </c>
      <c r="AD19" s="829">
        <f t="shared" si="8"/>
        <v>0</v>
      </c>
      <c r="AE19" s="829">
        <f t="shared" si="8"/>
        <v>7890</v>
      </c>
      <c r="AF19" s="830">
        <f t="shared" si="8"/>
        <v>0</v>
      </c>
      <c r="AG19" s="831">
        <f t="shared" si="8"/>
        <v>0</v>
      </c>
      <c r="AH19" s="832">
        <f t="shared" si="8"/>
        <v>0</v>
      </c>
      <c r="AI19" s="830">
        <f t="shared" si="8"/>
        <v>0</v>
      </c>
      <c r="AJ19" s="820">
        <f t="shared" si="8"/>
        <v>634</v>
      </c>
      <c r="AK19" s="820">
        <f t="shared" si="8"/>
        <v>2380</v>
      </c>
      <c r="AL19" s="820">
        <f t="shared" si="8"/>
        <v>0</v>
      </c>
      <c r="AM19" s="833">
        <f t="shared" si="8"/>
        <v>0</v>
      </c>
      <c r="AN19" s="823">
        <f>IF(ISNUMBER(Datos!K19/Datos!J19),Datos!K19/Datos!J19," - ")</f>
        <v>0.98848603625673692</v>
      </c>
      <c r="AO19" s="823">
        <f>IF(ISNUMBER(FIND("06",Criterios!A8,1)),(IF(ISNUMBER(((Datos!R19/Datos!Q19)*11)/factor_trimestre),((Datos!R19/Datos!Q19)*11)/factor_trimestre," - ")),(IF(ISNUMBER(((Datos!L19/Datos!K19)*11)/factor_trimestre),((Datos!L19/Datos!K19)*11)/factor_trimestre," - ")))</f>
        <v>7.2252788104089234</v>
      </c>
      <c r="AP19" s="834" t="str">
        <f>IF(ISNUMBER(Datos!CI19/Datos!CJ19),Datos!CI19/Datos!CJ19," - ")</f>
        <v xml:space="preserve"> - </v>
      </c>
      <c r="AQ19" s="834">
        <f>IF(OR(ISNUMBER(FIND("01",Criterios!A8,1)),ISNUMBER(FIND("02",Criterios!A8,1)),ISNUMBER(FIND("03",Criterios!A8,1)),ISNUMBER(FIND("04",Criterios!A8,1))),(J19-Y19+K19)/(F19-K19),(I19-Y19+K19)/(F19-K19))</f>
        <v>-0.70141732283464564</v>
      </c>
      <c r="AR19" s="834">
        <f>IF(ISNUMBER((Datos!P19-Datos!Q19+O19)/(Datos!R19-Datos!P19+Datos!Q19-O19)),(Datos!P19-Datos!Q19+O19)/(Datos!R19-Datos!P19+Datos!Q19-O19)," - ")</f>
        <v>-5.4636951833213515E-2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1411.2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1719.9264519158951</v>
      </c>
      <c r="G21" s="552">
        <f>IF(ISNUMBER(STDEV(G8:G18)),STDEV(G8:G18),"-")</f>
        <v>1683.5935376449982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180.96592681128308</v>
      </c>
      <c r="AK21" s="252"/>
      <c r="AL21" s="252">
        <f>IF(ISNUMBER(STDEV(AL8:AL18)),STDEV(AL8:AL18),"-")</f>
        <v>0</v>
      </c>
      <c r="AM21" s="254">
        <f>IF(ISNUMBER(STDEV(AM8:AM18)),STDEV(AM8:AM18),"-")</f>
        <v>0</v>
      </c>
      <c r="AN21" s="539">
        <f>IF(ISNUMBER(STDEV(AN8:AN18)),STDEV(AN8:AN18),"-")</f>
        <v>0</v>
      </c>
      <c r="AO21" s="540">
        <f>IF(ISNUMBER(STDEV(AO8:AO18)),STDEV(AO8:AO18),"-")</f>
        <v>8.6719247631063556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d2Ns7rL69n0d1OLGGN8oPJXrEOhlKO5y/cu3poX2NJmKLnkBiTvvUd/0LwqmYhVVd/uHhVFun7Ao7aLeDOybkw==" saltValue="MHhTV+2ekzfGcJjAKZwPS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slDmc+iEdu/CzofShDfOEn+rSnAni/pVgbV+a9ImZ5k+QhOYh1xnDgP7oKj5utJgsQCvBqm/Ozga70ZWG/pAA==" saltValue="V/4TxhxTGxmhOIiKJTtlL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bYvKlcvRWjAU0X79TetmxRo/ItjGTwDJswxhO4d9Bz5zL/qwopVbAQuTrZmvk8GS9uGdjXEZ8pHnb5Pru4Yog==" saltValue="Ox19DMOJFwhs4fJy/l+pF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MARTORELL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0.20638085742771686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0.14593330379423264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yh4zt7WsnRuKkBC3DBz/NUsn4YCeQx7qYnB9sAw+U1dDj7Sc7B2gQrYtbPIwZ7DxeiajpIUDM8o6AyY7ExFLlw==" saltValue="Al0ElEzLM+nuZhSG2cdqj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FKBNLgPp4od6qt8MZ+FI6tincl//fdLteyCerWRehZTvmNRtHtH/t1c8JbDalm1LF3J30zHXwBwmGcUYPawfg==" saltValue="fHiFw/KknFr3ONXIOynLL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MARTORELL</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98</v>
      </c>
      <c r="D10" s="404">
        <f>IF(ISNUMBER(C10/Datos!BH10),C10/Datos!BH10," - ")</f>
        <v>98</v>
      </c>
      <c r="E10" s="403">
        <f>IF(ISNUMBER(Datos!J10),Datos!J10," - ")</f>
        <v>24</v>
      </c>
      <c r="F10" s="404">
        <f>IF(ISNUMBER(E10/B10),E10/B10," - ")</f>
        <v>24</v>
      </c>
      <c r="G10" s="403">
        <f>IF(ISNUMBER(Datos!K10),Datos!K10," - ")</f>
        <v>12</v>
      </c>
      <c r="H10" s="404">
        <f>IF(ISNUMBER(G10/B10),G10/B10," - ")</f>
        <v>12</v>
      </c>
      <c r="I10" s="403">
        <f>IF(ISNUMBER(Datos!L10),Datos!L10," - ")</f>
        <v>110</v>
      </c>
      <c r="J10" s="404">
        <f>IF(ISNUMBER(I10/B10),I10/B10," - ")</f>
        <v>110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6526</v>
      </c>
      <c r="D12" s="404">
        <f>IF(ISNUMBER(C12/Datos!BH12),C12/Datos!BH12," - ")</f>
        <v>932.28571428571433</v>
      </c>
      <c r="E12" s="403">
        <f>IF(ISNUMBER(IF(J_V="SI",Datos!J12,Datos!J12+Datos!Z12)),IF(J_V="SI",Datos!J12,Datos!J12+Datos!Z12)," - ")</f>
        <v>2137</v>
      </c>
      <c r="F12" s="404">
        <f>IF(ISNUMBER(E12/B12),E12/B12," - ")</f>
        <v>305.28571428571428</v>
      </c>
      <c r="G12" s="403">
        <f>IF(ISNUMBER(IF(J_V="SI",Datos!K12,Datos!K12+Datos!AA12)),IF(J_V="SI",Datos!K12,Datos!K12+Datos!AA12)," - ")</f>
        <v>1994</v>
      </c>
      <c r="H12" s="404">
        <f>IF(ISNUMBER(G12/B12),G12/B12," - ")</f>
        <v>284.85714285714283</v>
      </c>
      <c r="I12" s="403">
        <f>IF(ISNUMBER(IF(J_V="SI",Datos!L12,Datos!L12+Datos!AB12)),IF(J_V="SI",Datos!L12,Datos!L12+Datos!AB12)," - ")</f>
        <v>6675</v>
      </c>
      <c r="J12" s="404">
        <f>IF(ISNUMBER(I12/B12),I12/B12," - ")</f>
        <v>953.57142857142856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6624</v>
      </c>
      <c r="D13" s="850" t="str">
        <f>IF(ISNUMBER(C13/Datos!BI13),C13/Datos!BI13," - ")</f>
        <v xml:space="preserve"> - </v>
      </c>
      <c r="E13" s="849">
        <f>SUBTOTAL(9,E8:E12)</f>
        <v>2161</v>
      </c>
      <c r="F13" s="850">
        <f>IF(ISNUMBER(E13/B13),E13/B13," - ")</f>
        <v>308.71428571428572</v>
      </c>
      <c r="G13" s="849">
        <f>SUBTOTAL(9,G8:G12)</f>
        <v>2006</v>
      </c>
      <c r="H13" s="850">
        <f>IF(ISNUMBER(G13/B13),G13/B13," - ")</f>
        <v>286.57142857142856</v>
      </c>
      <c r="I13" s="849">
        <f>SUBTOTAL(9,I8:I12)</f>
        <v>6785</v>
      </c>
      <c r="J13" s="850">
        <f>IF(ISNUMBER(I13/B13),I13/B13," - ")</f>
        <v>969.28571428571433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3062</v>
      </c>
      <c r="D16" s="404">
        <f>IF(ISNUMBER(C16/Datos!BH16),C16/Datos!BH16," - ")</f>
        <v>437.42857142857144</v>
      </c>
      <c r="E16" s="403">
        <f>IF(ISNUMBER(IF(D_I="SI",Datos!J16,Datos!J16+Datos!AD16)),IF(D_I="SI",Datos!J16,Datos!J16+Datos!AD16)," - ")</f>
        <v>1952</v>
      </c>
      <c r="F16" s="404">
        <f>IF(ISNUMBER(E16/B16),E16/B16," - ")</f>
        <v>278.85714285714283</v>
      </c>
      <c r="G16" s="403">
        <f>IF(ISNUMBER(IF(D_I="SI",Datos!K16,Datos!K16+Datos!AE16)),IF(D_I="SI",Datos!K16,Datos!K16+Datos!AE16)," - ")</f>
        <v>2134</v>
      </c>
      <c r="H16" s="404">
        <f>IF(ISNUMBER(G16/B16),G16/B16," - ")</f>
        <v>304.85714285714283</v>
      </c>
      <c r="I16" s="403">
        <f>IF(ISNUMBER(IF(D_I="SI",Datos!L16,Datos!L16+Datos!AF16)),IF(D_I="SI",Datos!L16,Datos!L16+Datos!AF16)," - ")</f>
        <v>2895</v>
      </c>
      <c r="J16" s="404">
        <f>IF(ISNUMBER(I16/B16),I16/B16," - ")</f>
        <v>413.57142857142856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368</v>
      </c>
      <c r="D17" s="404">
        <f>IF(ISNUMBER(C17/Datos!BH17),C17/Datos!BH17," - ")</f>
        <v>368</v>
      </c>
      <c r="E17" s="403">
        <f>IF(ISNUMBER(IF(D_I="SI",Datos!J17,Datos!J17+Datos!AD17)),IF(D_I="SI",Datos!J17,Datos!J17+Datos!AD17)," - ")</f>
        <v>118</v>
      </c>
      <c r="F17" s="404">
        <f>IF(ISNUMBER(E17/B17),E17/B17," - ")</f>
        <v>118</v>
      </c>
      <c r="G17" s="403">
        <f>IF(ISNUMBER(IF(D_I="SI",Datos!K17,Datos!K17+Datos!AE17)),IF(D_I="SI",Datos!K17,Datos!K17+Datos!AE17)," - ")</f>
        <v>81</v>
      </c>
      <c r="H17" s="404">
        <f>IF(ISNUMBER(G17/B17),G17/B17," - ")</f>
        <v>81</v>
      </c>
      <c r="I17" s="403">
        <f>IF(ISNUMBER(IF(D_I="SI",Datos!L17,Datos!L17+Datos!AF17)),IF(D_I="SI",Datos!L17,Datos!L17+Datos!AF17)," - ")</f>
        <v>405</v>
      </c>
      <c r="J17" s="404">
        <f>IF(ISNUMBER(I17/B17),I17/B17," - ")</f>
        <v>405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3430</v>
      </c>
      <c r="D18" s="850" t="str">
        <f>IF(ISNUMBER(C18/Datos!BI18),C18/Datos!BI18," - ")</f>
        <v xml:space="preserve"> - </v>
      </c>
      <c r="E18" s="849">
        <f>SUBTOTAL(9,E14:E17)</f>
        <v>2070</v>
      </c>
      <c r="F18" s="850">
        <f>IF(ISNUMBER(E18/B18),E18/B18," - ")</f>
        <v>295.71428571428572</v>
      </c>
      <c r="G18" s="849">
        <f>SUBTOTAL(9,G14:G17)</f>
        <v>2215</v>
      </c>
      <c r="H18" s="850">
        <f>IF(ISNUMBER(G18/B18),G18/B18," - ")</f>
        <v>316.42857142857144</v>
      </c>
      <c r="I18" s="849">
        <f>SUBTOTAL(9,I14:I17)</f>
        <v>3300</v>
      </c>
      <c r="J18" s="850">
        <f>IF(ISNUMBER(I18/B18),I18/B18," - ")</f>
        <v>471.42857142857144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10054</v>
      </c>
      <c r="D19" s="795" t="str">
        <f>IF(ISNUMBER(C19/Datos!BI19),C19/Datos!BI19," - ")</f>
        <v xml:space="preserve"> - </v>
      </c>
      <c r="E19" s="794">
        <f>SUBTOTAL(9,E9:E18)</f>
        <v>4231</v>
      </c>
      <c r="F19" s="795">
        <f>IF(ISNUMBER(E19/B19),E19/B19," - ")</f>
        <v>604.42857142857144</v>
      </c>
      <c r="G19" s="794">
        <f>SUBTOTAL(9,G9:G18)</f>
        <v>4221</v>
      </c>
      <c r="H19" s="795">
        <f>IF(ISNUMBER(G19/B19),G19/B19," - ")</f>
        <v>603</v>
      </c>
      <c r="I19" s="794">
        <f>SUBTOTAL(9,I9:I18)</f>
        <v>10085</v>
      </c>
      <c r="J19" s="795">
        <f>IF(ISNUMBER(I19/B19),I19/B19," - ")</f>
        <v>1440.7142857142858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7LfpKYUAQabjga4Ehz3kehxdbQFzP26B14+qn4EYDSPTUWRx1lFXbE/qDXUZRp+pnz8p1xQibG6h7uFVbWMm5A==" saltValue="FI7eODLUVmvVcU00BMDHj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MARTORELL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98</v>
      </c>
      <c r="G10" s="684">
        <f>IF(ISNUMBER(Datos!I10),Datos!I10," - ")</f>
        <v>98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110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27.5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448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894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7604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410</v>
      </c>
      <c r="AM12" s="690">
        <f>IF(ISNUMBER(Datos!N12+DatosP!N16),Datos!N12+DatosP!N16," - ")</f>
        <v>999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10.042627883650955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-5.5403726708074537E-2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98</v>
      </c>
      <c r="G13" s="938">
        <f t="shared" si="0"/>
        <v>98</v>
      </c>
      <c r="H13" s="938">
        <f t="shared" si="0"/>
        <v>0</v>
      </c>
      <c r="I13" s="940">
        <f t="shared" si="0"/>
        <v>0</v>
      </c>
      <c r="J13" s="939">
        <f t="shared" si="0"/>
        <v>0</v>
      </c>
      <c r="K13" s="939">
        <f t="shared" si="0"/>
        <v>0</v>
      </c>
      <c r="L13" s="941">
        <f t="shared" si="0"/>
        <v>0</v>
      </c>
      <c r="M13" s="941">
        <f t="shared" si="0"/>
        <v>0</v>
      </c>
      <c r="N13" s="939">
        <f t="shared" si="0"/>
        <v>452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894</v>
      </c>
      <c r="AE13" s="939">
        <f t="shared" si="1"/>
        <v>0</v>
      </c>
      <c r="AF13" s="939">
        <f t="shared" si="1"/>
        <v>110</v>
      </c>
      <c r="AG13" s="939">
        <f t="shared" si="1"/>
        <v>0</v>
      </c>
      <c r="AH13" s="939">
        <f t="shared" si="1"/>
        <v>7604</v>
      </c>
      <c r="AI13" s="939">
        <f t="shared" si="1"/>
        <v>0</v>
      </c>
      <c r="AJ13" s="939">
        <f t="shared" si="1"/>
        <v>0</v>
      </c>
      <c r="AK13" s="939">
        <f t="shared" si="1"/>
        <v>0</v>
      </c>
      <c r="AL13" s="939">
        <f t="shared" si="1"/>
        <v>414</v>
      </c>
      <c r="AM13" s="939">
        <f t="shared" si="1"/>
        <v>1004</v>
      </c>
      <c r="AN13" s="939">
        <f t="shared" si="1"/>
        <v>0</v>
      </c>
      <c r="AO13" s="939">
        <f t="shared" si="1"/>
        <v>0</v>
      </c>
      <c r="AP13" s="944">
        <f>IF(ISNUMBER(((Datos!L13/Datos!K13)*11)/factor_trimestre),((Datos!L13/Datos!K13)*11)/factor_trimestre," - ")</f>
        <v>10.579120879120879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-0.12244897959183673</v>
      </c>
      <c r="AU13" s="939" t="str">
        <f>IF(ISNUMBER((DatosP!#REF!-DatosP!#REF!+DatosP!#REF!)/(DatosP!#REF!+DatosP!#REF!-DatosP!#REF!-DatosP!#REF!)),(DatosP!#REF!-DatosP!#REF!+DatosP!#REF!)/(DatosP!#REF!+DatosP!#REF!-DatosP!#REF!-DatosP!#REF!)," - ")</f>
        <v xml:space="preserve"> - </v>
      </c>
      <c r="AV13" s="945">
        <f>SUBTOTAL(9,AV9:AV12)</f>
        <v>-5.5403726708074537E-2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4.4695259593679459</v>
      </c>
      <c r="AQ18" s="944">
        <f>IF(ISNUMBER(((Datos!M18/Datos!L18)*11)/factor_trimestre),((Datos!M18/Datos!L18)*11)/factor_trimestre," - ")</f>
        <v>0.19999999999999998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-5.6872037914691941E-2</v>
      </c>
      <c r="AW18" s="946">
        <f>IF(ISNUMBER((Datos!Q18-Datos!R18)/(Datos!S18-Datos!Q18+Datos!R18)),(Datos!Q18-Datos!R18)/(Datos!S18-Datos!Q18+Datos!R18)," - ")</f>
        <v>-5.6483126110124335E-2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98</v>
      </c>
      <c r="G19" s="951">
        <f t="shared" si="4"/>
        <v>98</v>
      </c>
      <c r="H19" s="951">
        <f t="shared" si="4"/>
        <v>0</v>
      </c>
      <c r="I19" s="952">
        <f t="shared" si="4"/>
        <v>0</v>
      </c>
      <c r="J19" s="953">
        <f t="shared" si="4"/>
        <v>0</v>
      </c>
      <c r="K19" s="953">
        <f t="shared" si="4"/>
        <v>0</v>
      </c>
      <c r="L19" s="953">
        <f t="shared" si="4"/>
        <v>0</v>
      </c>
      <c r="M19" s="953">
        <f t="shared" si="4"/>
        <v>0</v>
      </c>
      <c r="N19" s="952">
        <f t="shared" si="4"/>
        <v>452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894</v>
      </c>
      <c r="AE19" s="957">
        <f t="shared" si="5"/>
        <v>0</v>
      </c>
      <c r="AF19" s="958">
        <f t="shared" si="5"/>
        <v>110</v>
      </c>
      <c r="AG19" s="958">
        <f t="shared" si="5"/>
        <v>0</v>
      </c>
      <c r="AH19" s="958">
        <f t="shared" si="5"/>
        <v>7604</v>
      </c>
      <c r="AI19" s="958">
        <f t="shared" si="5"/>
        <v>0</v>
      </c>
      <c r="AJ19" s="959">
        <f t="shared" si="5"/>
        <v>0</v>
      </c>
      <c r="AK19" s="959">
        <f t="shared" si="5"/>
        <v>0</v>
      </c>
      <c r="AL19" s="951">
        <f t="shared" si="5"/>
        <v>414</v>
      </c>
      <c r="AM19" s="951">
        <f t="shared" si="5"/>
        <v>1004</v>
      </c>
      <c r="AN19" s="951">
        <f t="shared" si="5"/>
        <v>0</v>
      </c>
      <c r="AO19" s="951">
        <f t="shared" si="5"/>
        <v>0</v>
      </c>
      <c r="AP19" s="951">
        <f>IF(ISNUMBER(((Datos!L19/Datos!K19)*11)/factor_trimestre),((Datos!L19/Datos!K19)*11)/factor_trimestre," - ")</f>
        <v>7.2252788104089234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-0.12244897959183673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-5.4636951833213515E-2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65.333333333333329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56.580326380583323</v>
      </c>
      <c r="G21" s="737">
        <f>IF(ISNUMBER(STDEV(G8:G18)),STDEV(G8:G18),"-")</f>
        <v>56.580326380583323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236.72487547080189</v>
      </c>
      <c r="AM21" s="736"/>
      <c r="AN21" s="736">
        <f>IF(ISNUMBER(STDEV(AN8:AN18)),STDEV(AN8:AN18),"-")</f>
        <v>0</v>
      </c>
      <c r="AO21" s="742">
        <f>IF(ISNUMBER(STDEV(AO8:AO18)),STDEV(AO8:AO18),"-")</f>
        <v>0</v>
      </c>
      <c r="AP21" s="779">
        <f>IF(ISNUMBER(STDEV(AP8:AP18)),STDEV(AP8:AP18),"-")</f>
        <v>9.9588870104562801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fbstGGvnkrXwztdbrdMaqDjV5xAH83oZPYoysDG3ayUcRQvz5+hpF5Yf5sybd5bGH3CZm6nUcm+gMVbVJNHHDg==" saltValue="gtQIcjMb3/lSmjedK3M2a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MARTORELL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SJGK25lQWBo/XEkmM07KLoIGCrXR7Z00kJ1fTlbAv1xlwZDwB8Cu5bxZmQ5yxErsT9oQvD9hDkbyPU+jmrM1mg==" saltValue="YklODHZ6cw9c4N0Q584iE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MARTORELL</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5</v>
      </c>
      <c r="G10" s="404">
        <f>IF(ISNUMBER(F10/B10),F10/B10," - ")</f>
        <v>5</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410</v>
      </c>
      <c r="E12" s="404">
        <f t="shared" si="0"/>
        <v>58.571428571428569</v>
      </c>
      <c r="F12" s="403">
        <f>IF(ISNUMBER(Datos!N12),Datos!N12," - ")</f>
        <v>999</v>
      </c>
      <c r="G12" s="404">
        <f t="shared" si="1"/>
        <v>142.71428571428572</v>
      </c>
      <c r="H12" s="403">
        <f>IF(ISNUMBER(Datos!O12),Datos!O12," - ")</f>
        <v>752</v>
      </c>
      <c r="I12" s="404">
        <f t="shared" si="2"/>
        <v>107.42857142857143</v>
      </c>
      <c r="BZ12" s="1186">
        <f>Datos!EZ12</f>
        <v>0</v>
      </c>
    </row>
    <row r="13" spans="1:78" ht="14.25" thickTop="1" thickBot="1">
      <c r="A13" s="848" t="str">
        <f>Datos!A13</f>
        <v>TOTAL</v>
      </c>
      <c r="B13" s="849">
        <f>Datos!AP13</f>
        <v>7</v>
      </c>
      <c r="C13" s="851">
        <f>Datos!AR13</f>
        <v>7</v>
      </c>
      <c r="D13" s="849">
        <f>SUBTOTAL(9,D9:D12)</f>
        <v>414</v>
      </c>
      <c r="E13" s="850">
        <f t="shared" si="0"/>
        <v>59.142857142857146</v>
      </c>
      <c r="F13" s="849">
        <f>SUBTOTAL(9,F9:F12)</f>
        <v>1004</v>
      </c>
      <c r="G13" s="850">
        <f t="shared" si="1"/>
        <v>143.42857142857142</v>
      </c>
      <c r="H13" s="849">
        <f>SUBTOTAL(9,H9:H12)</f>
        <v>757</v>
      </c>
      <c r="I13" s="850">
        <f>IF(ISNUMBER(H13/B13),H13/B13," - ")</f>
        <v>108.14285714285714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209</v>
      </c>
      <c r="E16" s="404">
        <f t="shared" si="3"/>
        <v>29.857142857142858</v>
      </c>
      <c r="F16" s="403">
        <f>IF(ISNUMBER(Datos!N16),Datos!N16," - ")</f>
        <v>1339</v>
      </c>
      <c r="G16" s="404">
        <f t="shared" si="4"/>
        <v>191.28571428571428</v>
      </c>
      <c r="H16" s="403">
        <f>IF(ISNUMBER(Datos!O16),Datos!O16," - ")</f>
        <v>11</v>
      </c>
      <c r="I16" s="404">
        <f t="shared" si="5"/>
        <v>1.5714285714285714</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37</v>
      </c>
      <c r="G17" s="404">
        <f>IF(ISNUMBER(F17/B17),F17/B17," - ")</f>
        <v>37</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220</v>
      </c>
      <c r="E18" s="850">
        <f t="shared" si="3"/>
        <v>31.428571428571427</v>
      </c>
      <c r="F18" s="849">
        <f>SUBTOTAL(9,F15:F17)</f>
        <v>1376</v>
      </c>
      <c r="G18" s="850">
        <f t="shared" si="4"/>
        <v>196.57142857142858</v>
      </c>
      <c r="H18" s="849">
        <f>SUBTOTAL(9,H15:H17)</f>
        <v>11</v>
      </c>
      <c r="I18" s="850">
        <f>IF(ISNUMBER(H18/B18),H18/B18," - ")</f>
        <v>1.5714285714285714</v>
      </c>
      <c r="BZ18" s="1186"/>
    </row>
    <row r="19" spans="1:78" ht="14.25" thickTop="1" thickBot="1">
      <c r="A19" s="793" t="str">
        <f>Datos!A19</f>
        <v>TOTAL JURISDICCIONES</v>
      </c>
      <c r="B19" s="794">
        <f>Datos!AP19</f>
        <v>7</v>
      </c>
      <c r="C19" s="794">
        <f>Datos!AR19</f>
        <v>7</v>
      </c>
      <c r="D19" s="794">
        <f>SUBTOTAL(9,D8:D18)</f>
        <v>634</v>
      </c>
      <c r="E19" s="795">
        <f>IF(ISNUMBER(D19/B19),D19/B19," - ")</f>
        <v>90.571428571428569</v>
      </c>
      <c r="F19" s="794">
        <f>SUBTOTAL(9,F8:F18)</f>
        <v>2380</v>
      </c>
      <c r="G19" s="795">
        <f>IF(ISNUMBER(F19/B19),F19/B19," - ")</f>
        <v>340</v>
      </c>
      <c r="H19" s="794">
        <f>SUBTOTAL(9,H8:H18)</f>
        <v>768</v>
      </c>
      <c r="I19" s="795">
        <f>IF(ISNUMBER(H19/B19),H19/B19," - ")</f>
        <v>109.71428571428571</v>
      </c>
    </row>
    <row r="22" spans="1:78">
      <c r="A22" s="391" t="str">
        <f>Criterios!A4</f>
        <v>Fecha Informe: 27 feb. 2025</v>
      </c>
    </row>
    <row r="27" spans="1:78">
      <c r="A27" s="414"/>
    </row>
  </sheetData>
  <sheetProtection algorithmName="SHA-512" hashValue="qKLrXPgsk9H6shguEueWJpoDrR8NA/eoi1eNZLARlP+IxDBq8fCAqG8SOKPUY5KZSb328CReWCnkFQiJ0Yz9pQ==" saltValue="xjVurGTKmrGTuzE2YGa1P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MARTORELL</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2</v>
      </c>
      <c r="D10" s="408">
        <f>IF(ISNUMBER(Datos!R10),Datos!R10," - ")</f>
        <v>87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448</v>
      </c>
      <c r="C12" s="434">
        <f>IF(ISNUMBER(Datos!Q12),Datos!Q12," - ")</f>
        <v>894</v>
      </c>
      <c r="D12" s="408">
        <f>IF(ISNUMBER(Datos!R12),Datos!R12," - ")</f>
        <v>7604</v>
      </c>
    </row>
    <row r="13" spans="1:4" ht="14.25" thickTop="1" thickBot="1">
      <c r="A13" s="848" t="str">
        <f>Datos!A13</f>
        <v>TOTAL</v>
      </c>
      <c r="B13" s="849">
        <f>SUBTOTAL(9,B9:B12)</f>
        <v>452</v>
      </c>
      <c r="C13" s="853">
        <f>SUBTOTAL(9,C9:C12)</f>
        <v>896</v>
      </c>
      <c r="D13" s="851">
        <f>SUBTOTAL(9,D9:D12)</f>
        <v>7691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28</v>
      </c>
      <c r="C16" s="434">
        <f>IF(ISNUMBER(Datos!Q16),Datos!Q16," - ")</f>
        <v>40</v>
      </c>
      <c r="D16" s="408">
        <f>IF(ISNUMBER(Datos!R16),Datos!R16," - ")</f>
        <v>196</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28</v>
      </c>
      <c r="C18" s="853">
        <f>SUBTOTAL(9,C15:C17)</f>
        <v>40</v>
      </c>
      <c r="D18" s="851">
        <f>SUBTOTAL(9,D15:D17)</f>
        <v>199</v>
      </c>
    </row>
    <row r="19" spans="1:4" ht="16.5" customHeight="1" thickTop="1" thickBot="1">
      <c r="A19" s="793" t="str">
        <f>Datos!A19</f>
        <v>TOTAL JURISDICCIONES</v>
      </c>
      <c r="B19" s="798">
        <f>SUBTOTAL(9,B8:B18)</f>
        <v>480</v>
      </c>
      <c r="C19" s="799">
        <f>SUBTOTAL(9,C8:C18)</f>
        <v>936</v>
      </c>
      <c r="D19" s="800">
        <f>SUBTOTAL(9,D8:D18)</f>
        <v>7890</v>
      </c>
    </row>
    <row r="20" spans="1:4" ht="7.5" customHeight="1"/>
    <row r="21" spans="1:4" ht="6" customHeight="1"/>
    <row r="22" spans="1:4">
      <c r="A22" s="391" t="str">
        <f>Criterios!A4</f>
        <v>Fecha Informe: 27 feb. 2025</v>
      </c>
    </row>
    <row r="27" spans="1:4">
      <c r="A27" s="414"/>
    </row>
  </sheetData>
  <sheetProtection algorithmName="SHA-512" hashValue="OXXHFnZKf3vhbCWpg9bHhzGsNNJxkA7w2xLGv4THMOeL5R//aX29UfG7D1t4QKU1hHWws/5CDaxJDJGS3gWr9w==" saltValue="/44ws72b0s9VLUoU011am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MARTORELL</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-0.24615384615384617</v>
      </c>
      <c r="C10" s="456">
        <f>IF(ISNUMBER((Datos!J10-Datos!T10)/Datos!T10),(Datos!J10-Datos!T10)/Datos!T10," - ")</f>
        <v>0.41176470588235292</v>
      </c>
      <c r="D10" s="456">
        <f>IF(ISNUMBER((Datos!K10-Datos!U10)/Datos!U10),(Datos!K10-Datos!U10)/Datos!U10," - ")</f>
        <v>-0.29411764705882354</v>
      </c>
      <c r="E10" s="456">
        <f>IF(ISNUMBER((Datos!L10-Datos!V10)/Datos!V10),(Datos!L10-Datos!V10)/Datos!V10," - ")</f>
        <v>6.7961165048543687E-2</v>
      </c>
      <c r="F10" s="456">
        <f>IF(ISNUMBER((Datos!M10-Datos!W10)/Datos!W10),(Datos!M10-Datos!W10)/Datos!W10," - ")</f>
        <v>-0.2</v>
      </c>
      <c r="G10" s="457">
        <f>IF(ISNUMBER((Datos!N10-Datos!X10)/Datos!X10),(Datos!N10-Datos!X10)/Datos!X10," - ")</f>
        <v>-0.44444444444444442</v>
      </c>
      <c r="H10" s="455">
        <f>IF(ISNUMBER(((NºAsuntos!G10/NºAsuntos!E10)-Datos!BD10)/Datos!BD10),((NºAsuntos!G10/NºAsuntos!E10)-Datos!BD10)/Datos!BD10," - ")</f>
        <v>-0.5</v>
      </c>
      <c r="I10" s="456">
        <f>IF(ISNUMBER(((NºAsuntos!I10/NºAsuntos!G10)-Datos!BE10)/Datos!BE10),((NºAsuntos!I10/NºAsuntos!G10)-Datos!BE10)/Datos!BE10," - ")</f>
        <v>0.51294498381877018</v>
      </c>
      <c r="J10" s="461">
        <f>IF(ISNUMBER((('Resol  Asuntos'!D10/NºAsuntos!G10)-Datos!BF10)/Datos!BF10),(('Resol  Asuntos'!D10/NºAsuntos!G10)-Datos!BF10)/Datos!BF10," - ")</f>
        <v>0.13333333333333322</v>
      </c>
      <c r="K10" s="462">
        <f>IF(ISNUMBER((((NºAsuntos!C10+NºAsuntos!E10)/NºAsuntos!G10)-Datos!BG10)/Datos!BG10),(((NºAsuntos!C10+NºAsuntos!E10)/NºAsuntos!G10)-Datos!BG10)/Datos!BG10," - ")</f>
        <v>0.17573696145124718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-1.2259724534584531E-2</v>
      </c>
      <c r="C12" s="456">
        <f>IF(ISNUMBER(
   IF(J_V="SI",(Datos!J12-Datos!T12)/Datos!T12,(Datos!J12+Datos!Z12-(Datos!T12+Datos!AH12))/(Datos!T12+Datos!AH12))
     ),IF(J_V="SI",(Datos!J12-Datos!T12)/Datos!T12,(Datos!J12+Datos!Z12-(Datos!T12+Datos!AH12))/(Datos!T12+Datos!AH12))," - ")</f>
        <v>0.50705218617771508</v>
      </c>
      <c r="D12" s="456">
        <f>IF(ISNUMBER(
   IF(J_V="SI",(Datos!K12-Datos!U12)/Datos!U12,(Datos!K12+Datos!AA12-(Datos!U12+Datos!AI12))/(Datos!U12+Datos!AI12))
     ),IF(J_V="SI",(Datos!K12-Datos!U12)/Datos!U12,(Datos!K12+Datos!AA12-(Datos!U12+Datos!AI12))/(Datos!U12+Datos!AI12))," - ")</f>
        <v>0.24004975124378108</v>
      </c>
      <c r="E12" s="456">
        <f>IF(ISNUMBER(
   IF(J_V="SI",(Datos!L12-Datos!V12)/Datos!V12,(Datos!L12+Datos!AB12-(Datos!V12+Datos!AJ12))/(Datos!V12+Datos!AJ12))
     ),IF(J_V="SI",(Datos!L12-Datos!V12)/Datos!V12,(Datos!L12+Datos!AB12-(Datos!V12+Datos!AJ12))/(Datos!V12+Datos!AJ12))," - ")</f>
        <v>2.1110601193207894E-2</v>
      </c>
      <c r="F12" s="456">
        <f>IF(ISNUMBER((Datos!M12-Datos!W12)/Datos!W12),(Datos!M12-Datos!W12)/Datos!W12," - ")</f>
        <v>0.30990415335463256</v>
      </c>
      <c r="G12" s="457">
        <f>IF(ISNUMBER((Datos!N12-Datos!X12)/Datos!X12),(Datos!N12-Datos!X12)/Datos!X12," - ")</f>
        <v>0.19784172661870503</v>
      </c>
      <c r="H12" s="455">
        <f>IF(ISNUMBER(((NºAsuntos!G12/NºAsuntos!E12)-Datos!BD12)/Datos!BD12),((NºAsuntos!G12/NºAsuntos!E12)-Datos!BD12)/Datos!BD12," - ")</f>
        <v>-0.17716867231460851</v>
      </c>
      <c r="I12" s="456">
        <f>IF(ISNUMBER(((NºAsuntos!I12/NºAsuntos!G12)-Datos!BE12)/Datos!BE12),((NºAsuntos!I12/NºAsuntos!G12)-Datos!BE12)/Datos!BE12," - ")</f>
        <v>-0.17655674688130471</v>
      </c>
      <c r="J12" s="461">
        <f>IF(ISNUMBER((('Resol  Asuntos'!D12/NºAsuntos!G12)-Datos!BF12)/Datos!BF12),(('Resol  Asuntos'!D12/NºAsuntos!G12)-Datos!BF12)/Datos!BF12," - ")</f>
        <v>-0.60355887807306818</v>
      </c>
      <c r="K12" s="462">
        <f>IF(ISNUMBER((((NºAsuntos!C12+NºAsuntos!E12)/NºAsuntos!G12)-Datos!BG12)/Datos!BG12),(((NºAsuntos!C12+NºAsuntos!E12)/NºAsuntos!G12)-Datos!BG12)/Datos!BG12," - ")</f>
        <v>-0.12946915512893828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-1.6773044381772302E-2</v>
      </c>
      <c r="C13" s="855">
        <f>IF(ISNUMBER(
   IF(J_V="SI",(Datos!J13-Datos!T13)/Datos!T13,(Datos!J13+Datos!Z13-(Datos!T13+Datos!AH13))/(Datos!T13+Datos!AH13))
     ),IF(J_V="SI",(Datos!J13-Datos!T13)/Datos!T13,(Datos!J13+Datos!Z13-(Datos!T13+Datos!AH13))/(Datos!T13+Datos!AH13))," - ")</f>
        <v>0.50592334494773517</v>
      </c>
      <c r="D13" s="855">
        <f>IF(ISNUMBER(
   IF(J_V="SI",(Datos!K13-Datos!U13)/Datos!U13,(Datos!K13+Datos!AA13-(Datos!U13+Datos!AI13))/(Datos!U13+Datos!AI13))
     ),IF(J_V="SI",(Datos!K13-Datos!U13)/Datos!U13,(Datos!K13+Datos!AA13-(Datos!U13+Datos!AI13))/(Datos!U13+Datos!AI13))," - ")</f>
        <v>0.23446153846153847</v>
      </c>
      <c r="E13" s="855">
        <f>IF(ISNUMBER(
   IF(J_V="SI",(Datos!L13-Datos!V13)/Datos!V13,(Datos!L13+Datos!AB13-(Datos!V13+Datos!AJ13))/(Datos!V13+Datos!AJ13))
     ),IF(J_V="SI",(Datos!L13-Datos!V13)/Datos!V13,(Datos!L13+Datos!AB13-(Datos!V13+Datos!AJ13))/(Datos!V13+Datos!AJ13))," - ")</f>
        <v>2.1837349397590362E-2</v>
      </c>
      <c r="F13" s="856">
        <f>IF(ISNUMBER((Datos!M13-Datos!W13)/Datos!W13),(Datos!M13-Datos!W13)/Datos!W13," - ")</f>
        <v>0.30188679245283018</v>
      </c>
      <c r="G13" s="857">
        <f>IF(ISNUMBER((Datos!N13-Datos!X13)/Datos!X13),(Datos!N13-Datos!X13)/Datos!X13," - ")</f>
        <v>0.19098457888493475</v>
      </c>
      <c r="H13" s="857">
        <f>IF(ISNUMBER(((NºAsuntos!G13/NºAsuntos!E13)-Datos!BD13)/Datos!BD13),((NºAsuntos!G13/NºAsuntos!E13)-Datos!BD13)/Datos!BD13," - ")</f>
        <v>-0.1802626988929627</v>
      </c>
      <c r="I13" s="857">
        <f>IF(ISNUMBER(((NºAsuntos!I13/NºAsuntos!G13)-Datos!BE13)/Datos!BE13),((NºAsuntos!I13/NºAsuntos!G13)-Datos!BE13)/Datos!BE13," - ")</f>
        <v>-0.1722404323175053</v>
      </c>
      <c r="J13" s="857">
        <f>IF(ISNUMBER((('Resol  Asuntos'!D13/NºAsuntos!G13)-Datos!BF13)/Datos!BF13),(('Resol  Asuntos'!D13/NºAsuntos!G13)-Datos!BF13)/Datos!BF13," - ")</f>
        <v>-0.60027545492247936</v>
      </c>
      <c r="K13" s="857">
        <f>IF(ISNUMBER((((NºAsuntos!C13+NºAsuntos!E13)/NºAsuntos!G13)-Datos!BG13)/Datos!BG13),(((NºAsuntos!C13+NºAsuntos!E13)/NºAsuntos!G13)-Datos!BG13)/Datos!BG13," - ")</f>
        <v>-0.12916506232648109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0.34239368697939498</v>
      </c>
      <c r="C16" s="456">
        <f>IF(ISNUMBER(
   IF(D_I="SI",(Datos!J16-Datos!T16)/Datos!T16,(Datos!J16+Datos!AD16-(Datos!T16+Datos!AL16))/(Datos!T16+Datos!AL16))
     ),IF(D_I="SI",(Datos!J16-Datos!T16)/Datos!T16,(Datos!J16+Datos!AD16-(Datos!T16+Datos!AL16))/(Datos!T16+Datos!AL16))," - ")</f>
        <v>-6.4237775647171619E-2</v>
      </c>
      <c r="D16" s="456">
        <f>IF(ISNUMBER(
   IF(D_I="SI",(Datos!K16-Datos!U16)/Datos!U16,(Datos!K16+Datos!AE16-(Datos!U16+Datos!AM16))/(Datos!U16+Datos!AM16))
     ),IF(D_I="SI",(Datos!K16-Datos!U16)/Datos!U16,(Datos!K16+Datos!AE16-(Datos!U16+Datos!AM16))/(Datos!U16+Datos!AM16))," - ")</f>
        <v>0.18227146814404432</v>
      </c>
      <c r="E16" s="456">
        <f>IF(ISNUMBER(
   IF(D_I="SI",(Datos!L16-Datos!V16)/Datos!V16,(Datos!L16+Datos!AF16-(Datos!V16+Datos!AN16))/(Datos!V16+Datos!AN16))
     ),IF(D_I="SI",(Datos!L16-Datos!V16)/Datos!V16,(Datos!L16+Datos!AF16-(Datos!V16+Datos!AN16))/(Datos!V16+Datos!AN16))," - ")</f>
        <v>0.11303344867358708</v>
      </c>
      <c r="F16" s="456">
        <f>IF(ISNUMBER((Datos!M16-Datos!W16)/Datos!W16),(Datos!M16-Datos!W16)/Datos!W16," - ")</f>
        <v>0.20809248554913296</v>
      </c>
      <c r="G16" s="457">
        <f>IF(ISNUMBER((Datos!N16-Datos!X16)/Datos!X16),(Datos!N16-Datos!X16)/Datos!X16," - ")</f>
        <v>8.950366151342555E-2</v>
      </c>
      <c r="H16" s="455">
        <f>IF(ISNUMBER(((NºAsuntos!G16/NºAsuntos!E16)-Datos!BD16)/Datos!BD16),((NºAsuntos!G16/NºAsuntos!E16)-Datos!BD16)/Datos!BD16," - ")</f>
        <v>0.26343149720721143</v>
      </c>
      <c r="I16" s="456">
        <f>IF(ISNUMBER(((NºAsuntos!I16/NºAsuntos!G16)-Datos!BE16)/Datos!BE16),((NºAsuntos!I16/NºAsuntos!G16)-Datos!BE16)/Datos!BE16," - ")</f>
        <v>-5.8563554425574288E-2</v>
      </c>
      <c r="J16" s="461">
        <f>IF(ISNUMBER((('Resol  Asuntos'!D16/NºAsuntos!G16)-Datos!BF16)/Datos!BF16),(('Resol  Asuntos'!D16/NºAsuntos!G16)-Datos!BF16)/Datos!BF16," - ")</f>
        <v>2.1840176389964792E-2</v>
      </c>
      <c r="K16" s="462">
        <f>IF(ISNUMBER((((NºAsuntos!C16+NºAsuntos!E16)/NºAsuntos!G16)-Datos!BG16)/Datos!BG16),(((NºAsuntos!C16+NºAsuntos!E16)/NºAsuntos!G16)-Datos!BG16)/Datos!BG16," - ")</f>
        <v>-2.8855334665782648E-2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-1.8666666666666668E-2</v>
      </c>
      <c r="C17" s="456">
        <f>IF(ISNUMBER(
   IF(D_I="SI",(Datos!J17-Datos!T17)/Datos!T17,(Datos!J17+Datos!AD17-(Datos!T17+Datos!AL17))/(Datos!T17+Datos!AL17))
     ),IF(D_I="SI",(Datos!J17-Datos!T17)/Datos!T17,(Datos!J17+Datos!AD17-(Datos!T17+Datos!AL17))/(Datos!T17+Datos!AL17))," - ")</f>
        <v>-0.16901408450704225</v>
      </c>
      <c r="D17" s="456">
        <f>IF(ISNUMBER(
   IF(D_I="SI",(Datos!K17-Datos!U17)/Datos!U17,(Datos!K17+Datos!AE17-(Datos!U17+Datos!AM17))/(Datos!U17+Datos!AM17))
     ),IF(D_I="SI",(Datos!K17-Datos!U17)/Datos!U17,(Datos!K17+Datos!AE17-(Datos!U17+Datos!AM17))/(Datos!U17+Datos!AM17))," - ")</f>
        <v>-0.34677419354838712</v>
      </c>
      <c r="E17" s="456">
        <f>IF(ISNUMBER(
   IF(D_I="SI",(Datos!L17-Datos!V17)/Datos!V17,(Datos!L17+Datos!AF17-(Datos!V17+Datos!AN17))/(Datos!V17+Datos!AN17))
     ),IF(D_I="SI",(Datos!L17-Datos!V17)/Datos!V17,(Datos!L17+Datos!AF17-(Datos!V17+Datos!AN17))/(Datos!V17+Datos!AN17))," - ")</f>
        <v>0.36363636363636365</v>
      </c>
      <c r="F17" s="456">
        <f>IF(ISNUMBER((Datos!M17-Datos!W17)/Datos!W17),(Datos!M17-Datos!W17)/Datos!W17," - ")</f>
        <v>-8.3333333333333329E-2</v>
      </c>
      <c r="G17" s="457">
        <f>IF(ISNUMBER((Datos!N17-Datos!X17)/Datos!X17),(Datos!N17-Datos!X17)/Datos!X17," - ")</f>
        <v>-0.6262626262626263</v>
      </c>
      <c r="H17" s="455">
        <f>IF(ISNUMBER(((NºAsuntos!G17/NºAsuntos!E17)-Datos!BD17)/Datos!BD17),((NºAsuntos!G17/NºAsuntos!E17)-Datos!BD17)/Datos!BD17," - ")</f>
        <v>-0.21391470749043195</v>
      </c>
      <c r="I17" s="456">
        <f>IF(ISNUMBER(((NºAsuntos!I17/NºAsuntos!G17)-Datos!BE17)/Datos!BE17),((NºAsuntos!I17/NºAsuntos!G17)-Datos!BE17)/Datos!BE17," - ")</f>
        <v>1.0875420875420876</v>
      </c>
      <c r="J17" s="461">
        <f>IF(ISNUMBER((('Resol  Asuntos'!D17/NºAsuntos!G17)-Datos!BF17)/Datos!BF17),(('Resol  Asuntos'!D17/NºAsuntos!G17)-Datos!BF17)/Datos!BF17," - ")</f>
        <v>0.40329218106995879</v>
      </c>
      <c r="K17" s="462">
        <f>IF(ISNUMBER((((NºAsuntos!C17+NºAsuntos!E17)/NºAsuntos!G17)-Datos!BG17)/Datos!BG17),(((NºAsuntos!C17+NºAsuntos!E17)/NºAsuntos!G17)-Datos!BG17)/Datos!BG17," - ")</f>
        <v>0.43907156673114134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0.29141566265060243</v>
      </c>
      <c r="C18" s="855">
        <f>IF(ISNUMBER(
   IF(Criterios!B14="SI",(Datos!J18-Datos!T18)/Datos!T18,(Datos!J18+Datos!AD18-(Datos!T18+Datos!AL18))/(Datos!T18+Datos!AL18))
     ),IF(Criterios!B14="SI",(Datos!J18-Datos!T18)/Datos!T18,(Datos!J18+Datos!AD18-(Datos!T18+Datos!AL18))/(Datos!T18+Datos!AL18))," - ")</f>
        <v>-7.091561938958707E-2</v>
      </c>
      <c r="D18" s="855">
        <f>IF(ISNUMBER(
   IF(Criterios!B14="SI",(Datos!K18-Datos!U18)/Datos!U18,(Datos!K18+Datos!AE18-(Datos!U18+Datos!AM18))/(Datos!U18+Datos!AM18))
     ),IF(Criterios!B14="SI",(Datos!K18-Datos!U18)/Datos!U18,(Datos!K18+Datos!AE18-(Datos!U18+Datos!AM18))/(Datos!U18+Datos!AM18))," - ")</f>
        <v>0.14826334888543286</v>
      </c>
      <c r="E18" s="855">
        <f>IF(ISNUMBER(
   IF(Criterios!B14="SI",(Datos!L18-Datos!V18)/Datos!V18,(Datos!L18+Datos!AF18-(Datos!V18+Datos!AN18))/(Datos!V18+Datos!AN18))
     ),IF(Criterios!B14="SI",(Datos!L18-Datos!V18)/Datos!V18,(Datos!L18+Datos!AF18-(Datos!V18+Datos!AN18))/(Datos!V18+Datos!AN18))," - ")</f>
        <v>0.13871635610766045</v>
      </c>
      <c r="F18" s="856">
        <f>IF(ISNUMBER((Datos!M18-Datos!W18)/Datos!W18),(Datos!M18-Datos!W18)/Datos!W18," - ")</f>
        <v>0.1891891891891892</v>
      </c>
      <c r="G18" s="857">
        <f>IF(ISNUMBER((Datos!N18-Datos!X18)/Datos!X18),(Datos!N18-Datos!X18)/Datos!X18," - ")</f>
        <v>3.614457831325301E-2</v>
      </c>
      <c r="H18" s="857">
        <f>IF(ISNUMBER(((NºAsuntos!G18/NºAsuntos!E18)-Datos!BD18)/Datos!BD18),((NºAsuntos!G18/NºAsuntos!E18)-Datos!BD18)/Datos!BD18," - ")</f>
        <v>0.2359085706844177</v>
      </c>
      <c r="I18" s="857">
        <f>IF(ISNUMBER(((NºAsuntos!I18/NºAsuntos!G18)-Datos!BE18)/Datos!BE18),((NºAsuntos!I18/NºAsuntos!G18)-Datos!BE18)/Datos!BE18," - ")</f>
        <v>-8.3142885184301595E-3</v>
      </c>
      <c r="J18" s="857">
        <f>IF(ISNUMBER((('Resol  Asuntos'!D18/NºAsuntos!G18)-Datos!BF18)/Datos!BF18),(('Resol  Asuntos'!D18/NºAsuntos!G18)-Datos!BF18)/Datos!BF18," - ")</f>
        <v>3.5641510585077162E-2</v>
      </c>
      <c r="K18" s="857">
        <f>IF(ISNUMBER((((NºAsuntos!C18+NºAsuntos!E18)/NºAsuntos!G18)-Datos!BG18)/Datos!BG18),(((NºAsuntos!C18+NºAsuntos!E18)/NºAsuntos!G18)-Datos!BG18)/Datos!BG18," - ")</f>
        <v>-1.9278872552010249E-2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7.0371553284360691E-2</v>
      </c>
      <c r="C19" s="802">
        <f>IF(ISNUMBER(
   IF(J_V="SI",(Datos!J19-Datos!T19)/Datos!T19,(Datos!J19+Datos!Z19-(Datos!T19+Datos!AH19))/(Datos!T19+Datos!AH19))
     ),IF(J_V="SI",(Datos!J19-Datos!T19)/Datos!T19,(Datos!J19+Datos!Z19-(Datos!T19+Datos!AH19))/(Datos!T19+Datos!AH19))," - ")</f>
        <v>0.15506415506415505</v>
      </c>
      <c r="D19" s="802">
        <f>IF(ISNUMBER(
   IF(J_V="SI",(Datos!K19-Datos!U19)/Datos!U19,(Datos!K19+Datos!AA19-(Datos!U19+Datos!AI19))/(Datos!U19+Datos!AI19))
     ),IF(J_V="SI",(Datos!K19-Datos!U19)/Datos!U19,(Datos!K19+Datos!AA19-(Datos!U19+Datos!AI19))/(Datos!U19+Datos!AI19))," - ")</f>
        <v>0.18767585818795723</v>
      </c>
      <c r="E19" s="802">
        <f>IF(ISNUMBER(
   IF(J_V="SI",(Datos!L19-Datos!V19)/Datos!V19,(Datos!L19+Datos!AB19-(Datos!V19+Datos!AJ19))/(Datos!V19+Datos!AJ19))
     ),IF(J_V="SI",(Datos!L19-Datos!V19)/Datos!V19,(Datos!L19+Datos!AB19-(Datos!V19+Datos!AJ19))/(Datos!V19+Datos!AJ19))," - ")</f>
        <v>5.7349549171734113E-2</v>
      </c>
      <c r="F19" s="803">
        <f>IF(ISNUMBER((Datos!M19-Datos!W19)/Datos!W19),(Datos!M19-Datos!W19)/Datos!W19," - ")</f>
        <v>0.26043737574552683</v>
      </c>
      <c r="G19" s="804">
        <f>IF(ISNUMBER((Datos!N19-Datos!X19)/Datos!X19),(Datos!N19-Datos!X19)/Datos!X19," - ")</f>
        <v>9.6269000460617232E-2</v>
      </c>
      <c r="H19" s="805">
        <f>IF(ISNUMBER((Tasas!B19-Datos!BD19)/Datos!BD19),(Tasas!B19-Datos!BD19)/Datos!BD19," - ")</f>
        <v>2.8233672546085432E-2</v>
      </c>
      <c r="I19" s="806">
        <f>IF(ISNUMBER((Tasas!C19-Datos!BE19)/Datos!BE19),(Tasas!C19-Datos!BE19)/Datos!BE19," - ")</f>
        <v>-0.10973222038466179</v>
      </c>
      <c r="J19" s="807">
        <f>IF(ISNUMBER((Tasas!D19-Datos!BF19)/Datos!BF19),(Tasas!D19-Datos!BF19)/Datos!BF19," - ")</f>
        <v>-0.47869562159440893</v>
      </c>
      <c r="K19" s="807">
        <f>IF(ISNUMBER((Tasas!E19-Datos!BG19)/Datos!BG19),(Tasas!E19-Datos!BG19)/Datos!BG19," - ")</f>
        <v>-7.8761298258938725E-2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n/+uOYauXJBtGy9nyfu5hTGra2kdgWNAqWIqOTgOGlyzWzHnfTfoN7OyLHHoA80FiCla1I5N3TGTzgcZMed3g==" saltValue="QSL9NrHcW5Bu8Mxu7pon6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MARTORELL</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9.1666666666666661</v>
      </c>
      <c r="D10" s="444">
        <f>IF(ISNUMBER('Resol  Asuntos'!D10/NºAsuntos!G10),'Resol  Asuntos'!D10/NºAsuntos!G10," - ")</f>
        <v>0.33333333333333331</v>
      </c>
      <c r="E10" s="445">
        <f>IF(ISNUMBER((NºAsuntos!C10+NºAsuntos!E10)/NºAsuntos!G10),(NºAsuntos!C10+NºAsuntos!E10)/NºAsuntos!G10," - ")</f>
        <v>10.166666666666666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0.93308376228357515</v>
      </c>
      <c r="C12" s="443">
        <f>IF(ISNUMBER(NºAsuntos!I12/NºAsuntos!G12),NºAsuntos!I12/NºAsuntos!G12," - ")</f>
        <v>3.3475426278836511</v>
      </c>
      <c r="D12" s="444">
        <f>IF(ISNUMBER('Resol  Asuntos'!D12/NºAsuntos!G12),'Resol  Asuntos'!D12/NºAsuntos!G12," - ")</f>
        <v>0.20561685055165496</v>
      </c>
      <c r="E12" s="445">
        <f>IF(ISNUMBER((NºAsuntos!C12+NºAsuntos!E12)/NºAsuntos!G12),(NºAsuntos!C12+NºAsuntos!E12)/NºAsuntos!G12," - ")</f>
        <v>4.3445336008024071</v>
      </c>
      <c r="G12" s="463"/>
    </row>
    <row r="13" spans="1:7" ht="14.25" thickTop="1" thickBot="1">
      <c r="A13" s="848" t="str">
        <f>Datos!A13</f>
        <v>TOTAL</v>
      </c>
      <c r="B13" s="858">
        <f>IF(ISNUMBER(NºAsuntos!G13/NºAsuntos!E13),NºAsuntos!G13/NºAsuntos!E13," - ")</f>
        <v>0.92827394724664503</v>
      </c>
      <c r="C13" s="859">
        <f>IF(ISNUMBER(NºAsuntos!I13/NºAsuntos!G13),NºAsuntos!I13/NºAsuntos!G13," - ")</f>
        <v>3.3823529411764706</v>
      </c>
      <c r="D13" s="860">
        <f>IF(ISNUMBER('Resol  Asuntos'!D13/NºAsuntos!G13),'Resol  Asuntos'!D13/NºAsuntos!G13," - ")</f>
        <v>0.20638085742771686</v>
      </c>
      <c r="E13" s="861">
        <f>IF(ISNUMBER((NºAsuntos!C13+NºAsuntos!E13)/NºAsuntos!G13),(NºAsuntos!C13+NºAsuntos!E13)/NºAsuntos!G13," - ")</f>
        <v>4.3793619142572284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1.0932377049180328</v>
      </c>
      <c r="C16" s="443">
        <f>IF(ISNUMBER(NºAsuntos!I16/NºAsuntos!G16),NºAsuntos!I16/NºAsuntos!G16," - ")</f>
        <v>1.3566073102155576</v>
      </c>
      <c r="D16" s="444">
        <f>IF(ISNUMBER('Resol  Asuntos'!D16/NºAsuntos!G16),'Resol  Asuntos'!D16/NºAsuntos!G16," - ")</f>
        <v>9.7938144329896906E-2</v>
      </c>
      <c r="E16" s="445">
        <f>IF(ISNUMBER((NºAsuntos!C16+NºAsuntos!E16)/NºAsuntos!G16),(NºAsuntos!C16+NºAsuntos!E16)/NºAsuntos!G16," - ")</f>
        <v>2.3495782567947519</v>
      </c>
      <c r="G16" s="463"/>
    </row>
    <row r="17" spans="1:7" ht="13.5" thickBot="1">
      <c r="A17" s="402" t="str">
        <f>Datos!A17</f>
        <v>Jdos. Violencia contra la mujer</v>
      </c>
      <c r="B17" s="442">
        <f>IF(ISNUMBER(NºAsuntos!G17/NºAsuntos!E17),NºAsuntos!G17/NºAsuntos!E17," - ")</f>
        <v>0.68644067796610164</v>
      </c>
      <c r="C17" s="443">
        <f>IF(ISNUMBER(NºAsuntos!I17/NºAsuntos!G17),NºAsuntos!I17/NºAsuntos!G17," - ")</f>
        <v>5</v>
      </c>
      <c r="D17" s="444">
        <f>IF(ISNUMBER('Resol  Asuntos'!D17/NºAsuntos!G17),'Resol  Asuntos'!D17/NºAsuntos!G17," - ")</f>
        <v>0.13580246913580246</v>
      </c>
      <c r="E17" s="445">
        <f>IF(ISNUMBER((NºAsuntos!C17+NºAsuntos!E17)/NºAsuntos!G17),(NºAsuntos!C17+NºAsuntos!E17)/NºAsuntos!G17," - ")</f>
        <v>6</v>
      </c>
      <c r="G17" s="463"/>
    </row>
    <row r="18" spans="1:7" ht="14.25" thickTop="1" thickBot="1">
      <c r="A18" s="848" t="str">
        <f>Datos!A18</f>
        <v>TOTAL</v>
      </c>
      <c r="B18" s="858">
        <f>IF(ISNUMBER(NºAsuntos!G18/NºAsuntos!E18),NºAsuntos!G18/NºAsuntos!E18," - ")</f>
        <v>1.0700483091787441</v>
      </c>
      <c r="C18" s="859">
        <f>IF(ISNUMBER(NºAsuntos!I18/NºAsuntos!G18),NºAsuntos!I18/NºAsuntos!G18," - ")</f>
        <v>1.489841986455982</v>
      </c>
      <c r="D18" s="862">
        <f>IF(ISNUMBER('Resol  Asuntos'!D18/NºAsuntos!G18),'Resol  Asuntos'!D18/NºAsuntos!G18," - ")</f>
        <v>9.9322799097065456E-2</v>
      </c>
      <c r="E18" s="861">
        <f>IF(ISNUMBER((NºAsuntos!C18+NºAsuntos!E18)/NºAsuntos!G18),(NºAsuntos!C18+NºAsuntos!E18)/NºAsuntos!G18," - ")</f>
        <v>2.4830699774266365</v>
      </c>
      <c r="G18" s="463"/>
    </row>
    <row r="19" spans="1:7" ht="15.75" customHeight="1" thickTop="1" thickBot="1">
      <c r="A19" s="793" t="str">
        <f>Datos!A19</f>
        <v>TOTAL JURISDICCIONES</v>
      </c>
      <c r="B19" s="808">
        <f>IF(ISNUMBER(NºAsuntos!G19/NºAsuntos!E19),NºAsuntos!G19/NºAsuntos!E19," - ")</f>
        <v>0.99763649255495157</v>
      </c>
      <c r="C19" s="809">
        <f>IF(ISNUMBER(NºAsuntos!I19/NºAsuntos!G19),NºAsuntos!I19/NºAsuntos!G19," - ")</f>
        <v>2.3892442549158965</v>
      </c>
      <c r="D19" s="810">
        <f>IF(ISNUMBER('Resol  Asuntos'!D19/NºAsuntos!G19),'Resol  Asuntos'!D19/NºAsuntos!G19," - ")</f>
        <v>0.1502013740819711</v>
      </c>
      <c r="E19" s="811">
        <f>IF(ISNUMBER((NºAsuntos!C19+NºAsuntos!E19)/NºAsuntos!G19),(NºAsuntos!C19+NºAsuntos!E19)/NºAsuntos!G19," - ")</f>
        <v>3.3842691305377874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d78XTs7mlJPZnUwRuVIvPPp087FgJ8e6ST5M7FGebbKFg/wxzpZiQ0aGWZyIxjdQulFtEkBgzX2QTm2ttfBZQ==" saltValue="89tlPoVheJdRDMcI/UcGe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MARTORELL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98</v>
      </c>
      <c r="G10" s="333">
        <f>IF(ISNUMBER(Datos!I10),Datos!I10," - ")</f>
        <v>98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2</v>
      </c>
      <c r="Y10" s="334">
        <f t="shared" ref="Y10:Y12" si="0">SUM(W10:X10)</f>
        <v>14</v>
      </c>
      <c r="Z10" s="335" t="str">
        <f>IF(ISNUMBER(Datos!CC10),Datos!CC10," - ")</f>
        <v xml:space="preserve"> - </v>
      </c>
      <c r="AA10" s="332">
        <f>IF(ISNUMBER(Datos!L10),Datos!L10,"-")</f>
        <v>110</v>
      </c>
      <c r="AB10" s="334">
        <f>IF(ISNUMBER(Datos!R10),Datos!R10," - ")</f>
        <v>87</v>
      </c>
      <c r="AC10" s="334">
        <f t="shared" ref="AC10:AC12" si="1">IF(ISNUMBER(AA10+AB10),AA10+AB10," - ")</f>
        <v>197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27.5</v>
      </c>
      <c r="AN10" s="244">
        <f>IF(ISNUMBER('Resol  Asuntos'!D10/NºAsuntos!G10),'Resol  Asuntos'!D10/NºAsuntos!G10," - ")</f>
        <v>0.33333333333333331</v>
      </c>
      <c r="AO10" s="245">
        <f>IF(ISNUMBER((NºAsuntos!C10+NºAsuntos!E10)/NºAsuntos!G10),(NºAsuntos!C10+NºAsuntos!E10)/NºAsuntos!G10," - ")</f>
        <v>10.166666666666666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448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894</v>
      </c>
      <c r="Y12" s="334">
        <f t="shared" si="0"/>
        <v>894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7604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410</v>
      </c>
      <c r="AJ12" s="229" t="str">
        <f>IF(ISNUMBER(Datos!BW12),Datos!BW12," - ")</f>
        <v xml:space="preserve"> - </v>
      </c>
      <c r="AK12" s="228" t="str">
        <f>IF(ISNUMBER(Datos!BX12),Datos!BX12," - ")</f>
        <v xml:space="preserve"> - </v>
      </c>
      <c r="AL12" s="243">
        <f>IF(ISNUMBER(NºAsuntos!G12/NºAsuntos!E12),NºAsuntos!G12/NºAsuntos!E12," - ")</f>
        <v>0.93308376228357515</v>
      </c>
      <c r="AM12" s="260">
        <f>IF(ISNUMBER(((NºAsuntos!I12/NºAsuntos!G12)*11)/factor_trimestre),((NºAsuntos!I12/NºAsuntos!G12)*11)/factor_trimestre," - ")</f>
        <v>10.042627883650955</v>
      </c>
      <c r="AN12" s="244">
        <f>IF(ISNUMBER('Resol  Asuntos'!D12/NºAsuntos!G12),'Resol  Asuntos'!D12/NºAsuntos!G12," - ")</f>
        <v>0.20561685055165496</v>
      </c>
      <c r="AO12" s="245">
        <f>IF(ISNUMBER((NºAsuntos!C12+NºAsuntos!E12)/NºAsuntos!G12),(NºAsuntos!C12+NºAsuntos!E12)/NºAsuntos!G12," - ")</f>
        <v>4.3445336008024071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98</v>
      </c>
      <c r="G13" s="866">
        <f t="shared" si="3"/>
        <v>98</v>
      </c>
      <c r="H13" s="865">
        <f t="shared" si="3"/>
        <v>0</v>
      </c>
      <c r="I13" s="867">
        <f t="shared" si="3"/>
        <v>0</v>
      </c>
      <c r="J13" s="867">
        <f t="shared" si="3"/>
        <v>0</v>
      </c>
      <c r="K13" s="867">
        <f t="shared" si="3"/>
        <v>0</v>
      </c>
      <c r="L13" s="867">
        <f t="shared" si="3"/>
        <v>452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896</v>
      </c>
      <c r="Y13" s="868">
        <f t="shared" si="4"/>
        <v>908</v>
      </c>
      <c r="Z13" s="868">
        <f t="shared" si="4"/>
        <v>0</v>
      </c>
      <c r="AA13" s="868">
        <f t="shared" si="4"/>
        <v>110</v>
      </c>
      <c r="AB13" s="868">
        <f t="shared" si="4"/>
        <v>7691</v>
      </c>
      <c r="AC13" s="868">
        <f t="shared" si="4"/>
        <v>197</v>
      </c>
      <c r="AD13" s="868">
        <f t="shared" si="4"/>
        <v>0</v>
      </c>
      <c r="AE13" s="872">
        <f t="shared" si="4"/>
        <v>0</v>
      </c>
      <c r="AF13" s="865">
        <f t="shared" si="4"/>
        <v>0</v>
      </c>
      <c r="AG13" s="873">
        <f t="shared" si="4"/>
        <v>0</v>
      </c>
      <c r="AH13" s="870">
        <f t="shared" si="4"/>
        <v>0</v>
      </c>
      <c r="AI13" s="865">
        <f t="shared" si="4"/>
        <v>414</v>
      </c>
      <c r="AJ13" s="867">
        <f t="shared" si="4"/>
        <v>0</v>
      </c>
      <c r="AK13" s="870">
        <f>SUBTOTAL(9,AK9:AK12)</f>
        <v>0</v>
      </c>
      <c r="AL13" s="874">
        <f>IF(ISNUMBER(NºAsuntos!G13/NºAsuntos!E13),NºAsuntos!G13/NºAsuntos!E13," - ")</f>
        <v>0.92827394724664503</v>
      </c>
      <c r="AM13" s="874">
        <f>IF(ISNUMBER(((NºAsuntos!I13/NºAsuntos!G13)*11)/factor_trimestre),((NºAsuntos!I13/NºAsuntos!G13)*11)/factor_trimestre," - ")</f>
        <v>10.147058823529411</v>
      </c>
      <c r="AN13" s="875">
        <f>IF(ISNUMBER('Resol  Asuntos'!D13/NºAsuntos!G13),'Resol  Asuntos'!D13/NºAsuntos!G13," - ")</f>
        <v>0.20638085742771686</v>
      </c>
      <c r="AO13" s="876">
        <f>IF(ISNUMBER((NºAsuntos!C13+NºAsuntos!E13)/NºAsuntos!G13),(NºAsuntos!C13+NºAsuntos!E13)/NºAsuntos!G13," - ")</f>
        <v>4.3793619142572284</v>
      </c>
      <c r="AP13" s="877" t="str">
        <f t="shared" si="2"/>
        <v xml:space="preserve"> - </v>
      </c>
      <c r="AQ13" s="877">
        <f>IF(ISNUMBER((H13-W13+K13)/(F13)),(H13-W13+K13)/(F13)," - ")</f>
        <v>-0.12244897959183673</v>
      </c>
      <c r="AR13" s="878">
        <f>IF(ISNUMBER((Datos!P13-Datos!Q13)/(Datos!R13-Datos!P13+Datos!Q13)),(Datos!P13-Datos!Q13)/(Datos!R13-Datos!P13+Datos!Q13)," - ")</f>
        <v>-5.4578979717271048E-2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3077</v>
      </c>
      <c r="G16" s="333">
        <f>IF(ISNUMBER(IF(D_I="SI",Datos!I16,Datos!I16+Datos!AC16)),IF(D_I="SI",Datos!I16,Datos!I16+Datos!AC16)," - ")</f>
        <v>3062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2134</v>
      </c>
      <c r="X16" s="226">
        <f>IF(ISNUMBER(Datos!Q16),Datos!Q16," - ")</f>
        <v>40</v>
      </c>
      <c r="Y16" s="334">
        <f t="shared" ref="Y16:Y17" si="7">SUM(W16:X16)</f>
        <v>2174</v>
      </c>
      <c r="Z16" s="335" t="str">
        <f>IF(ISNUMBER(Datos!CC16),Datos!CC16," - ")</f>
        <v xml:space="preserve"> - </v>
      </c>
      <c r="AA16" s="332">
        <f>IF(ISNUMBER(IF(D_I="SI",Datos!L16,Datos!L16+Datos!AF16)),IF(D_I="SI",Datos!L16,Datos!L16+Datos!AF16)," - ")</f>
        <v>2895</v>
      </c>
      <c r="AB16" s="334">
        <f>IF(ISNUMBER(Datos!R16),Datos!R16," - ")</f>
        <v>196</v>
      </c>
      <c r="AC16" s="334">
        <f t="shared" si="6"/>
        <v>3091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209</v>
      </c>
      <c r="AJ16" s="231" t="str">
        <f>IF(ISNUMBER(Datos!BW16),Datos!BW16," - ")</f>
        <v xml:space="preserve"> - </v>
      </c>
      <c r="AK16" s="232" t="str">
        <f>IF(ISNUMBER(Datos!BX16),Datos!BX16," - ")</f>
        <v xml:space="preserve"> - </v>
      </c>
      <c r="AL16" s="243">
        <f>IF(ISNUMBER(NºAsuntos!G16/NºAsuntos!E16),NºAsuntos!G16/NºAsuntos!E16," - ")</f>
        <v>1.0932377049180328</v>
      </c>
      <c r="AM16" s="260">
        <f>IF(ISNUMBER(((NºAsuntos!I16/NºAsuntos!G16)*11)/factor_trimestre),((NºAsuntos!I16/NºAsuntos!G16)*11)/factor_trimestre," - ")</f>
        <v>4.0698219306466727</v>
      </c>
      <c r="AN16" s="244">
        <f>IF(ISNUMBER('Resol  Asuntos'!D16/NºAsuntos!G16),'Resol  Asuntos'!D16/NºAsuntos!G16," - ")</f>
        <v>9.7938144329896906E-2</v>
      </c>
      <c r="AO16" s="245">
        <f>IF(ISNUMBER((NºAsuntos!C16+NºAsuntos!E16)/NºAsuntos!G16),(NºAsuntos!C16+NºAsuntos!E16)/NºAsuntos!G16," - ")</f>
        <v>2.3495782567947519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81</v>
      </c>
      <c r="X17" s="226">
        <f>IF(ISNUMBER(Datos!Q17),Datos!Q17," - ")</f>
        <v>0</v>
      </c>
      <c r="Y17" s="334">
        <f t="shared" si="7"/>
        <v>81</v>
      </c>
      <c r="Z17" s="335" t="str">
        <f>IF(ISNUMBER(Datos!CC17),Datos!CC17," - ")</f>
        <v xml:space="preserve"> - </v>
      </c>
      <c r="AA17" s="332">
        <f>IF(ISNUMBER(Datos!L17),Datos!L17,"-")</f>
        <v>405</v>
      </c>
      <c r="AB17" s="334">
        <f>IF(ISNUMBER(Datos!R17),Datos!R17," - ")</f>
        <v>3</v>
      </c>
      <c r="AC17" s="334">
        <f t="shared" si="6"/>
        <v>408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0.68644067796610164</v>
      </c>
      <c r="AM17" s="260">
        <f>IF(ISNUMBER(((NºAsuntos!I17/NºAsuntos!G17)*11)/factor_trimestre),((NºAsuntos!I17/NºAsuntos!G17)*11)/factor_trimestre," - ")</f>
        <v>15</v>
      </c>
      <c r="AN17" s="244">
        <f>IF(ISNUMBER('Resol  Asuntos'!D17/NºAsuntos!G17),'Resol  Asuntos'!D17/NºAsuntos!G17," - ")</f>
        <v>0.13580246913580246</v>
      </c>
      <c r="AO17" s="245">
        <f>IF(ISNUMBER((NºAsuntos!C17+NºAsuntos!E17)/NºAsuntos!G17),(NºAsuntos!C17+NºAsuntos!E17)/NºAsuntos!G17," - ")</f>
        <v>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3077</v>
      </c>
      <c r="G18" s="866">
        <f>SUBTOTAL(9,G15:G17)</f>
        <v>3430</v>
      </c>
      <c r="H18" s="865">
        <f t="shared" ref="H18:O18" si="10">SUBTOTAL(9,H14:H17)</f>
        <v>0</v>
      </c>
      <c r="I18" s="867">
        <f t="shared" si="10"/>
        <v>0</v>
      </c>
      <c r="J18" s="867">
        <f t="shared" si="10"/>
        <v>0</v>
      </c>
      <c r="K18" s="867">
        <f t="shared" si="10"/>
        <v>0</v>
      </c>
      <c r="L18" s="867">
        <f t="shared" si="10"/>
        <v>28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2215</v>
      </c>
      <c r="X18" s="867">
        <f t="shared" si="11"/>
        <v>40</v>
      </c>
      <c r="Y18" s="868">
        <f t="shared" si="11"/>
        <v>2255</v>
      </c>
      <c r="Z18" s="868">
        <f t="shared" si="11"/>
        <v>0</v>
      </c>
      <c r="AA18" s="868">
        <f t="shared" si="11"/>
        <v>3300</v>
      </c>
      <c r="AB18" s="868">
        <f t="shared" si="11"/>
        <v>199</v>
      </c>
      <c r="AC18" s="868">
        <f t="shared" si="11"/>
        <v>3499</v>
      </c>
      <c r="AD18" s="868">
        <f t="shared" si="11"/>
        <v>0</v>
      </c>
      <c r="AE18" s="872">
        <f t="shared" si="11"/>
        <v>0</v>
      </c>
      <c r="AF18" s="865">
        <f t="shared" si="11"/>
        <v>0</v>
      </c>
      <c r="AG18" s="873">
        <f t="shared" si="11"/>
        <v>0</v>
      </c>
      <c r="AH18" s="870">
        <f t="shared" si="11"/>
        <v>0</v>
      </c>
      <c r="AI18" s="865">
        <f t="shared" si="11"/>
        <v>220</v>
      </c>
      <c r="AJ18" s="867">
        <f t="shared" si="11"/>
        <v>0</v>
      </c>
      <c r="AK18" s="870">
        <f t="shared" si="11"/>
        <v>0</v>
      </c>
      <c r="AL18" s="874">
        <f>IF(ISNUMBER(NºAsuntos!G18/NºAsuntos!E18),NºAsuntos!G18/NºAsuntos!E18," - ")</f>
        <v>1.0700483091787441</v>
      </c>
      <c r="AM18" s="874">
        <f>IF(ISNUMBER(((NºAsuntos!I18/NºAsuntos!G18)*11)/factor_trimestre),((NºAsuntos!I18/NºAsuntos!G18)*11)/factor_trimestre," - ")</f>
        <v>4.4695259593679459</v>
      </c>
      <c r="AN18" s="875">
        <f>IF(ISNUMBER('Resol  Asuntos'!D18/NºAsuntos!G18),'Resol  Asuntos'!D18/NºAsuntos!G18," - ")</f>
        <v>9.9322799097065456E-2</v>
      </c>
      <c r="AO18" s="876">
        <f>IF(ISNUMBER((NºAsuntos!C18+NºAsuntos!E18)/NºAsuntos!G18),(NºAsuntos!C18+NºAsuntos!E18)/NºAsuntos!G18," - ")</f>
        <v>2.4830699774266365</v>
      </c>
      <c r="AP18" s="877" t="str">
        <f t="shared" si="2"/>
        <v xml:space="preserve"> - </v>
      </c>
      <c r="AQ18" s="877">
        <f>IF(ISNUMBER((H18-W18+K18)/(F18)),(H18-W18+K18)/(F18)," - ")</f>
        <v>-0.71985700357491067</v>
      </c>
      <c r="AR18" s="878">
        <f>IF(ISNUMBER((Datos!P18-Datos!Q18)/(Datos!R18-Datos!P18+Datos!Q18)),(Datos!P18-Datos!Q18)/(Datos!R18-Datos!P18+Datos!Q18)," - ")</f>
        <v>-5.6872037914691941E-2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3175</v>
      </c>
      <c r="G19" s="821">
        <f t="shared" si="13"/>
        <v>3528</v>
      </c>
      <c r="H19" s="820">
        <f t="shared" si="13"/>
        <v>0</v>
      </c>
      <c r="I19" s="822">
        <f t="shared" si="13"/>
        <v>0</v>
      </c>
      <c r="J19" s="822">
        <f t="shared" si="13"/>
        <v>0</v>
      </c>
      <c r="K19" s="881">
        <f t="shared" si="13"/>
        <v>0</v>
      </c>
      <c r="L19" s="822">
        <f t="shared" si="13"/>
        <v>480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2227</v>
      </c>
      <c r="X19" s="821">
        <f t="shared" si="14"/>
        <v>936</v>
      </c>
      <c r="Y19" s="828">
        <f t="shared" si="14"/>
        <v>3163</v>
      </c>
      <c r="Z19" s="828">
        <f t="shared" si="14"/>
        <v>0</v>
      </c>
      <c r="AA19" s="828">
        <f t="shared" si="14"/>
        <v>3410</v>
      </c>
      <c r="AB19" s="828">
        <f t="shared" si="14"/>
        <v>7890</v>
      </c>
      <c r="AC19" s="828">
        <f t="shared" si="14"/>
        <v>3696</v>
      </c>
      <c r="AD19" s="828">
        <f t="shared" si="14"/>
        <v>0</v>
      </c>
      <c r="AE19" s="830">
        <f t="shared" si="14"/>
        <v>0</v>
      </c>
      <c r="AF19" s="831">
        <f t="shared" si="14"/>
        <v>0</v>
      </c>
      <c r="AG19" s="832">
        <f t="shared" si="14"/>
        <v>0</v>
      </c>
      <c r="AH19" s="830">
        <f t="shared" si="14"/>
        <v>0</v>
      </c>
      <c r="AI19" s="820">
        <f t="shared" si="14"/>
        <v>634</v>
      </c>
      <c r="AJ19" s="820">
        <f t="shared" si="14"/>
        <v>0</v>
      </c>
      <c r="AK19" s="830">
        <f t="shared" si="14"/>
        <v>0</v>
      </c>
      <c r="AL19" s="884">
        <f>IF(ISNUMBER(NºAsuntos!G19/NºAsuntos!E19),NºAsuntos!G19/NºAsuntos!E19," - ")</f>
        <v>0.99763649255495157</v>
      </c>
      <c r="AM19" s="885">
        <f>IF(ISNUMBER(((NºAsuntos!I19/NºAsuntos!G19)*11)/factor_trimestre),((NºAsuntos!I19/NºAsuntos!G19)*11)/factor_trimestre," - ")</f>
        <v>7.1677327647476901</v>
      </c>
      <c r="AN19" s="885">
        <f>IF(ISNUMBER('Resol  Asuntos'!D19/NºAsuntos!G19),'Resol  Asuntos'!D19/NºAsuntos!G19," - ")</f>
        <v>0.1502013740819711</v>
      </c>
      <c r="AO19" s="886">
        <f>IF(ISNUMBER((NºAsuntos!C19+NºAsuntos!E19)/NºAsuntos!G19),(NºAsuntos!C19+NºAsuntos!E19)/NºAsuntos!G19," - ")</f>
        <v>3.3842691305377874</v>
      </c>
      <c r="AP19" s="887" t="str">
        <f t="shared" si="2"/>
        <v xml:space="preserve"> - </v>
      </c>
      <c r="AQ19" s="888">
        <f>IF(OR(ISNUMBER(FIND("01",Criterios!A8,1)),ISNUMBER(FIND("02",Criterios!A8,1)),ISNUMBER(FIND("03",Criterios!A8,1)),ISNUMBER(FIND("04",Criterios!A8,1))),(I19-W19+K19)/(F19-K19),(H19-W19+K19)/(F19-K19))</f>
        <v>-0.70141732283464564</v>
      </c>
      <c r="AR19" s="889">
        <f>IF(ISNUMBER((Datos!P19-Datos!Q19)/(Datos!R19-Datos!P19+Datos!Q19)),(Datos!P19-Datos!Q19)/(Datos!R19-Datos!P19+Datos!Q19)," - ")</f>
        <v>-5.4636951833213515E-2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1411.2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1719.9264519158951</v>
      </c>
      <c r="G21" s="253">
        <f>IF(ISNUMBER(STDEV(G8:G18)),STDEV(G8:G18),"-")</f>
        <v>1683.5935376449982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1172.5407029182397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180.96592681128308</v>
      </c>
      <c r="AJ21" s="252">
        <f t="shared" si="18"/>
        <v>0</v>
      </c>
      <c r="AK21" s="254">
        <f t="shared" si="18"/>
        <v>0</v>
      </c>
      <c r="AL21" s="249">
        <f t="shared" si="18"/>
        <v>0.231434910770589</v>
      </c>
      <c r="AM21" s="250">
        <f t="shared" si="18"/>
        <v>8.6719247631063556</v>
      </c>
      <c r="AN21" s="250">
        <f t="shared" si="18"/>
        <v>8.9508921106487602E-2</v>
      </c>
      <c r="AO21" s="251">
        <f t="shared" si="18"/>
        <v>2.8933086834329407</v>
      </c>
      <c r="AP21" s="291" t="str">
        <f t="shared" si="18"/>
        <v>-</v>
      </c>
      <c r="AQ21" s="292">
        <f t="shared" si="18"/>
        <v>0.42243126489368721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CA7sApG+97ba6y2926PtByEcfH0CzH4lVcyRhpKLLnl0kTLXioPuoNh26WsBnGVYO3q2GdE36rcp70T7qQJoEw==" saltValue="a//CkUsiodCQUn5bkSO9C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MARTORELL</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-0.24615384615384617</v>
      </c>
      <c r="E10" s="348">
        <f>IF(ISNUMBER((Datos!J10-Datos!T10)/Datos!T10),(Datos!J10-Datos!T10)/Datos!T10," - ")</f>
        <v>0.41176470588235292</v>
      </c>
      <c r="F10" s="348">
        <f>IF(ISNUMBER((Datos!K10-Datos!U10)/Datos!U10),(Datos!K10-Datos!U10)/Datos!U10," - ")</f>
        <v>-0.29411764705882354</v>
      </c>
      <c r="G10" s="349">
        <f>IF(ISNUMBER((Datos!L10-Datos!V10)/Datos!V10),(Datos!L10-Datos!V10)/Datos!V10," - ")</f>
        <v>6.7961165048543687E-2</v>
      </c>
      <c r="H10" s="230">
        <f>IF(ISNUMBER((Datos!M10-Datos!W10)/Datos!W10),(Datos!M10-Datos!W10)/Datos!W10," - ")</f>
        <v>-0.2</v>
      </c>
      <c r="I10" s="350">
        <f>IF(ISNUMBER((Tasas!C10-Datos!BE10)/Datos!BE10),(Tasas!C10-Datos!BE10)/Datos!BE10," - ")</f>
        <v>0.51294498381877018</v>
      </c>
      <c r="J10" s="349">
        <f>IF(ISNUMBER((Tasas!D10-Datos!BF10)/Datos!BF10),(Tasas!D10-Datos!BF10)/Datos!BF10," - ")</f>
        <v>0.13333333333333322</v>
      </c>
      <c r="K10" s="351">
        <f>IF(ISNUMBER((Tasas!E10-Datos!BG10)/Datos!BG10),(Tasas!E10-Datos!BG10)/Datos!BG10," - ")</f>
        <v>0.17573696145124718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0.30990415335463256</v>
      </c>
      <c r="I12" s="350">
        <f>IF(ISNUMBER((Tasas!C12-Datos!BE12)/Datos!BE12),(Tasas!C12-Datos!BE12)/Datos!BE12," - ")</f>
        <v>-0.17655674688130471</v>
      </c>
      <c r="J12" s="349">
        <f>IF(ISNUMBER((Tasas!D12-Datos!BF12)/Datos!BF12),(Tasas!D12-Datos!BF12)/Datos!BF12," - ")</f>
        <v>-0.60355887807306818</v>
      </c>
      <c r="K12" s="351">
        <f>IF(ISNUMBER((Tasas!E12-Datos!BG12)/Datos!BG12),(Tasas!E12-Datos!BG12)/Datos!BG12," - ")</f>
        <v>-0.12946915512893828</v>
      </c>
      <c r="M12" t="e">
        <f>IF(Monitorios="SI",Datos!CE12,0)</f>
        <v>#REF!</v>
      </c>
      <c r="N12" t="e">
        <f>IF(Monitorios="SI",Datos!CF12,0)</f>
        <v>#REF!</v>
      </c>
      <c r="O12" t="e">
        <f>IF(Monitorios="SI",Datos!CG12,0)</f>
        <v>#REF!</v>
      </c>
      <c r="P12" t="e">
        <f>IF(Monitorios="SI",Datos!CH12,0)</f>
        <v>#REF!</v>
      </c>
      <c r="Q12">
        <f>IF(J_V="SI",0,Datos!AG12)</f>
        <v>302</v>
      </c>
      <c r="R12">
        <f>IF(J_V="SI",0,Datos!AH12)</f>
        <v>239</v>
      </c>
      <c r="S12">
        <f>IF(J_V="SI",0,Datos!AI12)</f>
        <v>201</v>
      </c>
      <c r="T12">
        <f>IF(J_V="SI",0,Datos!AJ12)</f>
        <v>402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0.30188679245283018</v>
      </c>
      <c r="I13" s="357">
        <f>IF(ISNUMBER((Tasas!C13-Datos!BE13)/Datos!BE13),(Tasas!C13-Datos!BE13)/Datos!BE13," - ")</f>
        <v>-0.1722404323175053</v>
      </c>
      <c r="J13" s="355">
        <f>IF(ISNUMBER((Tasas!D13-Datos!BF13)/Datos!BF13),(Tasas!D13-Datos!BF13)/Datos!BF13," - ")</f>
        <v>-0.60027545492247936</v>
      </c>
      <c r="K13" s="358">
        <f>IF(ISNUMBER((Tasas!E13-Datos!BG13)/Datos!BG13),(Tasas!E13-Datos!BG13)/Datos!BG13," - ")</f>
        <v>-0.12916506232648109</v>
      </c>
      <c r="M13" t="e">
        <f>IF(Monitorios="SI",Datos!CE13,0)</f>
        <v>#REF!</v>
      </c>
      <c r="N13" t="e">
        <f>IF(Monitorios="SI",Datos!CF13,0)</f>
        <v>#REF!</v>
      </c>
      <c r="O13" t="e">
        <f>IF(Monitorios="SI",Datos!CG13,0)</f>
        <v>#REF!</v>
      </c>
      <c r="P13" t="e">
        <f>IF(Monitorios="SI",Datos!CH13,0)</f>
        <v>#REF!</v>
      </c>
      <c r="Q13">
        <f>IF(J_V="SI",0,Datos!AG13)</f>
        <v>302</v>
      </c>
      <c r="R13">
        <f>IF(J_V="SI",0,Datos!AH13)</f>
        <v>239</v>
      </c>
      <c r="S13">
        <f>IF(J_V="SI",0,Datos!AI13)</f>
        <v>201</v>
      </c>
      <c r="T13">
        <f>IF(J_V="SI",0,Datos!AJ13)</f>
        <v>402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0.34239368697939498</v>
      </c>
      <c r="E16" s="348">
        <f>IF(ISNUMBER(
   IF(D_I="SI",(Datos!J16-Datos!T16)/Datos!T16,(Datos!J16+Datos!AD16-(Datos!T16+Datos!AL16))/(Datos!T16+Datos!AL16))
     ),IF(D_I="SI",(Datos!J16-Datos!T16)/Datos!T16,(Datos!J16+Datos!AD16-(Datos!T16+Datos!AL16))/(Datos!T16+Datos!AL16))," - ")</f>
        <v>-6.4237775647171619E-2</v>
      </c>
      <c r="F16" s="348">
        <f>IF(ISNUMBER(
   IF(D_I="SI",(Datos!K16-Datos!U16)/Datos!U16,(Datos!K16+Datos!AE16-(Datos!U16+Datos!AM16))/(Datos!U16+Datos!AM16))
     ),IF(D_I="SI",(Datos!K16-Datos!U16)/Datos!U16,(Datos!K16+Datos!AE16-(Datos!U16+Datos!AM16))/(Datos!U16+Datos!AM16))," - ")</f>
        <v>0.18227146814404432</v>
      </c>
      <c r="G16" s="349">
        <f>IF(ISNUMBER(
   IF(D_I="SI",(Datos!L16-Datos!V16)/Datos!V16,(Datos!L16+Datos!AF16-(Datos!V16+Datos!AN16))/(Datos!V16+Datos!AN16))
     ),IF(D_I="SI",(Datos!L16-Datos!V16)/Datos!V16,(Datos!L16+Datos!AF16-(Datos!V16+Datos!AN16))/(Datos!V16+Datos!AN16))," - ")</f>
        <v>0.11303344867358708</v>
      </c>
      <c r="H16" s="230">
        <f>IF(ISNUMBER((Datos!M16-Datos!W16)/Datos!W16),(Datos!M16-Datos!W16)/Datos!W16," - ")</f>
        <v>0.20809248554913296</v>
      </c>
      <c r="I16" s="350">
        <f>IF(ISNUMBER((Tasas!C16-Datos!BE16)/Datos!BE16),(Tasas!C16-Datos!BE16)/Datos!BE16," - ")</f>
        <v>-5.8563554425574288E-2</v>
      </c>
      <c r="J16" s="349">
        <f>IF(ISNUMBER((Tasas!D16-Datos!BF16)/Datos!BF16),(Tasas!D16-Datos!BF16)/Datos!BF16," - ")</f>
        <v>2.1840176389964792E-2</v>
      </c>
      <c r="K16" s="351">
        <f>IF(ISNUMBER((Tasas!E16-Datos!BG16)/Datos!BG16),(Tasas!E16-Datos!BG16)/Datos!BG16," - ")</f>
        <v>-2.8855334665782648E-2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-1.8666666666666668E-2</v>
      </c>
      <c r="E17" s="348">
        <f>IF(ISNUMBER(
   IF(D_I="SI",(Datos!J17-Datos!T17)/Datos!T17,(Datos!J17+Datos!AD17-(Datos!T17+Datos!AL17))/(Datos!T17+Datos!AL17))
     ),IF(D_I="SI",(Datos!J17-Datos!T17)/Datos!T17,(Datos!J17+Datos!AD17-(Datos!T17+Datos!AL17))/(Datos!T17+Datos!AL17))," - ")</f>
        <v>-0.16901408450704225</v>
      </c>
      <c r="F17" s="348">
        <f>IF(ISNUMBER(
   IF(D_I="SI",(Datos!K17-Datos!U17)/Datos!U17,(Datos!K17+Datos!AE17-(Datos!U17+Datos!AM17))/(Datos!U17+Datos!AM17))
     ),IF(D_I="SI",(Datos!K17-Datos!U17)/Datos!U17,(Datos!K17+Datos!AE17-(Datos!U17+Datos!AM17))/(Datos!U17+Datos!AM17))," - ")</f>
        <v>-0.34677419354838712</v>
      </c>
      <c r="G17" s="349">
        <f>IF(ISNUMBER(
   IF(D_I="SI",(Datos!L17-Datos!V17)/Datos!V17,(Datos!L17+Datos!AF17-(Datos!V17+Datos!AN17))/(Datos!V17+Datos!AN17))
     ),IF(D_I="SI",(Datos!L17-Datos!V17)/Datos!V17,(Datos!L17+Datos!AF17-(Datos!V17+Datos!AN17))/(Datos!V17+Datos!AN17))," - ")</f>
        <v>0.36363636363636365</v>
      </c>
      <c r="H17" s="230">
        <f>IF(ISNUMBER((Datos!M17-Datos!W17)/Datos!W17),(Datos!M17-Datos!W17)/Datos!W17," - ")</f>
        <v>-8.3333333333333329E-2</v>
      </c>
      <c r="I17" s="350">
        <f>IF(ISNUMBER((Tasas!C17-Datos!BE17)/Datos!BE17),(Tasas!C17-Datos!BE17)/Datos!BE17," - ")</f>
        <v>1.0875420875420876</v>
      </c>
      <c r="J17" s="349">
        <f>IF(ISNUMBER((Tasas!D17-Datos!BF17)/Datos!BF17),(Tasas!D17-Datos!BF17)/Datos!BF17," - ")</f>
        <v>0.40329218106995879</v>
      </c>
      <c r="K17" s="351">
        <f>IF(ISNUMBER((Tasas!E17-Datos!BG17)/Datos!BG17),(Tasas!E17-Datos!BG17)/Datos!BG17," - ")</f>
        <v>0.43907156673114134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0.29141566265060243</v>
      </c>
      <c r="E18" s="354">
        <f>IF(ISNUMBER(
   IF(D_I="SI",(Datos!J18-Datos!T18)/Datos!T18,(Datos!J18+Datos!AD18-(Datos!T18+Datos!AL18))/(Datos!T18+Datos!AL18))
     ),IF(D_I="SI",(Datos!J18-Datos!T18)/Datos!T18,(Datos!J18+Datos!AD18-(Datos!T18+Datos!AL18))/(Datos!T18+Datos!AL18))," - ")</f>
        <v>-7.091561938958707E-2</v>
      </c>
      <c r="F18" s="354">
        <f>IF(ISNUMBER(
   IF(D_I="SI",(Datos!K18-Datos!U18)/Datos!U18,(Datos!K18+Datos!AE18-(Datos!U18+Datos!AM18))/(Datos!U18+Datos!AM18))
     ),IF(D_I="SI",(Datos!K18-Datos!U18)/Datos!U18,(Datos!K18+Datos!AE18-(Datos!U18+Datos!AM18))/(Datos!U18+Datos!AM18))," - ")</f>
        <v>0.14826334888543286</v>
      </c>
      <c r="G18" s="355">
        <f>IF(ISNUMBER(
   IF(D_I="SI",(Datos!L18-Datos!V18)/Datos!V18,(Datos!L18+Datos!AF18-(Datos!V18+Datos!AN18))/(Datos!V18+Datos!AN18))
     ),IF(D_I="SI",(Datos!L18-Datos!V18)/Datos!V18,(Datos!L18+Datos!AF18-(Datos!V18+Datos!AN18))/(Datos!V18+Datos!AN18))," - ")</f>
        <v>0.13871635610766045</v>
      </c>
      <c r="H18" s="356">
        <f>IF(ISNUMBER((Datos!M18-Datos!W18)/Datos!W18),(Datos!M18-Datos!W18)/Datos!W18," - ")</f>
        <v>0.1891891891891892</v>
      </c>
      <c r="I18" s="357">
        <f>IF(ISNUMBER((Tasas!C18-Datos!BE18)/Datos!BE18),(Tasas!C18-Datos!BE18)/Datos!BE18," - ")</f>
        <v>-8.3142885184301595E-3</v>
      </c>
      <c r="J18" s="355">
        <f>IF(ISNUMBER((Tasas!D18-Datos!BF18)/Datos!BF18),(Tasas!D18-Datos!BF18)/Datos!BF18," - ")</f>
        <v>3.5641510585077162E-2</v>
      </c>
      <c r="K18" s="358">
        <f>IF(ISNUMBER((Tasas!E18-Datos!BG18)/Datos!BG18),(Tasas!E18-Datos!BG18)/Datos!BG18," - ")</f>
        <v>-1.9278872552010249E-2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7.0371553284360691E-2</v>
      </c>
      <c r="E19" s="363">
        <f>IF(ISNUMBER(
   IF(J_V="SI",(Datos!J19-Datos!T19)/Datos!T19,(Datos!J19+Datos!Z19-(Datos!T19+Datos!AH19))/(Datos!T19+Datos!AH19))
     ),IF(J_V="SI",(Datos!J19-Datos!T19)/Datos!T19,(Datos!J19+Datos!Z19-(Datos!T19+Datos!AH19))/(Datos!T19+Datos!AH19))," - ")</f>
        <v>0.15506415506415505</v>
      </c>
      <c r="F19" s="363">
        <f>IF(ISNUMBER(
   IF(J_V="SI",(Datos!K19-Datos!U19)/Datos!U19,(Datos!K19+Datos!AA19-(Datos!U19+Datos!AI19))/(Datos!U19+Datos!AI19))
     ),IF(J_V="SI",(Datos!K19-Datos!U19)/Datos!U19,(Datos!K19+Datos!AA19-(Datos!U19+Datos!AI19))/(Datos!U19+Datos!AI19))," - ")</f>
        <v>0.18767585818795723</v>
      </c>
      <c r="G19" s="364">
        <f>IF(ISNUMBER(
   IF(J_V="SI",(Datos!L19-Datos!V19)/Datos!V19,(Datos!L19+Datos!AB19-(Datos!V19+Datos!AJ19))/(Datos!V19+Datos!AJ19))
     ),IF(J_V="SI",(Datos!L19-Datos!V19)/Datos!V19,(Datos!L19+Datos!AB19-(Datos!V19+Datos!AJ19))/(Datos!V19+Datos!AJ19))," - ")</f>
        <v>5.7349549171734113E-2</v>
      </c>
      <c r="H19" s="365">
        <f>IF(ISNUMBER((Datos!M19-Datos!W19)/Datos!W19),(Datos!M19-Datos!W19)/Datos!W19," - ")</f>
        <v>0.26043737574552683</v>
      </c>
      <c r="I19" s="362">
        <f>IF(ISNUMBER((Tasas!C19-Datos!BE19)/Datos!BE19),(Tasas!C19-Datos!BE19)/Datos!BE19," - ")</f>
        <v>-0.10973222038466179</v>
      </c>
      <c r="J19" s="363">
        <f>IF(ISNUMBER((Tasas!D19-Datos!BF19)/Datos!BF19),(Tasas!D19-Datos!BF19)/Datos!BF19," - ")</f>
        <v>-0.47869562159440893</v>
      </c>
      <c r="K19" s="364">
        <f>IF(ISNUMBER((Tasas!E19-Datos!BG19)/Datos!BG19),(Tasas!E19-Datos!BG19)/Datos!BG19," - ")</f>
        <v>-7.8761298258938725E-2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0.27632016172048524</v>
      </c>
      <c r="E21" s="278">
        <f t="shared" si="1"/>
        <v>0.261009041916624</v>
      </c>
      <c r="F21" s="278">
        <f t="shared" si="1"/>
        <v>0.28159194461942882</v>
      </c>
      <c r="G21" s="279">
        <f t="shared" si="1"/>
        <v>0.13181807962167502</v>
      </c>
      <c r="H21" s="285">
        <f t="shared" si="1"/>
        <v>0.21233594946805107</v>
      </c>
      <c r="I21" s="277">
        <f t="shared" si="1"/>
        <v>0.50521974465895247</v>
      </c>
      <c r="J21" s="278">
        <f t="shared" si="1"/>
        <v>0.41105289608913459</v>
      </c>
      <c r="K21" s="279">
        <f t="shared" si="1"/>
        <v>0.22022838909853926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gq9Ji0CaxCJmXzTPmI9FWZNvTsEdhdrDMKUvmUjTwf45BngiUIS5rrnYK9X9zz8lJbtYJlm5pewddBT955oww==" saltValue="bZeNLoAPUPmIb9YqOt9pX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